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ml.chartshapes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6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9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store.soton.ac.uk\users\agsa1m17\mydesktop\PhD Study 270919\"/>
    </mc:Choice>
  </mc:AlternateContent>
  <bookViews>
    <workbookView xWindow="0" yWindow="0" windowWidth="28800" windowHeight="12300" activeTab="6"/>
  </bookViews>
  <sheets>
    <sheet name="roughness" sheetId="11" r:id="rId1"/>
    <sheet name="centreholdrill2" sheetId="10" r:id="rId2"/>
    <sheet name="centreholedrill" sheetId="9" r:id="rId3"/>
    <sheet name="Proto XRD measurments" sheetId="8" r:id="rId4"/>
    <sheet name="hardness lsp" sheetId="6" r:id="rId5"/>
    <sheet name="hardns lsp cut" sheetId="4" r:id="rId6"/>
    <sheet name="hrdns base1200Sic" sheetId="3" r:id="rId7"/>
  </sheets>
  <externalReferences>
    <externalReference r:id="rId8"/>
    <externalReference r:id="rId9"/>
  </externalReferences>
  <definedNames>
    <definedName name="_xlnm.Print_Area" localSheetId="1">centreholdrill2!$N$1:$AC$62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5" i="11" l="1"/>
  <c r="O34" i="11"/>
  <c r="N34" i="11"/>
  <c r="M34" i="11"/>
  <c r="O33" i="11"/>
  <c r="N33" i="11"/>
  <c r="M33" i="11"/>
  <c r="O32" i="11"/>
  <c r="N32" i="11"/>
  <c r="M32" i="11"/>
  <c r="O31" i="11"/>
  <c r="N31" i="11"/>
  <c r="M31" i="11"/>
  <c r="O30" i="11"/>
  <c r="N30" i="11"/>
  <c r="M30" i="11"/>
  <c r="W14" i="11"/>
  <c r="V14" i="11"/>
  <c r="U14" i="11"/>
  <c r="T14" i="11"/>
  <c r="S14" i="11"/>
  <c r="R14" i="11"/>
  <c r="Q14" i="11"/>
  <c r="P14" i="11"/>
  <c r="W13" i="11"/>
  <c r="V13" i="11"/>
  <c r="U13" i="11"/>
  <c r="T13" i="11"/>
  <c r="S13" i="11"/>
  <c r="R13" i="11"/>
  <c r="Q13" i="11"/>
  <c r="P13" i="11"/>
  <c r="W12" i="11"/>
  <c r="V12" i="11"/>
  <c r="U12" i="11"/>
  <c r="T12" i="11"/>
  <c r="S12" i="11"/>
  <c r="R12" i="11"/>
  <c r="Q12" i="11"/>
  <c r="P12" i="11"/>
  <c r="W11" i="11"/>
  <c r="V11" i="11"/>
  <c r="U11" i="11"/>
  <c r="T11" i="11"/>
  <c r="S11" i="11"/>
  <c r="R11" i="11"/>
  <c r="Q11" i="11"/>
  <c r="P11" i="11"/>
  <c r="S10" i="11"/>
  <c r="R10" i="11"/>
  <c r="Q10" i="11"/>
  <c r="P10" i="11"/>
  <c r="S9" i="11"/>
  <c r="R9" i="11"/>
  <c r="Q9" i="11"/>
  <c r="P9" i="11"/>
  <c r="O1" i="10" l="1"/>
  <c r="T1" i="10"/>
  <c r="AB1" i="10"/>
  <c r="M2" i="10"/>
  <c r="O2" i="10"/>
  <c r="T2" i="10"/>
  <c r="Y2" i="10"/>
  <c r="AB62" i="10" s="1"/>
  <c r="P6" i="10"/>
  <c r="S6" i="10" s="1"/>
  <c r="B87" i="10" s="1"/>
  <c r="Q6" i="10"/>
  <c r="R6" i="10"/>
  <c r="U6" i="10" s="1"/>
  <c r="P7" i="10"/>
  <c r="Q7" i="10"/>
  <c r="T7" i="10" s="1"/>
  <c r="R7" i="10"/>
  <c r="U7" i="10"/>
  <c r="C88" i="10" s="1"/>
  <c r="P8" i="10"/>
  <c r="S7" i="10" s="1"/>
  <c r="B88" i="10" s="1"/>
  <c r="Q8" i="10"/>
  <c r="R8" i="10"/>
  <c r="U8" i="10" s="1"/>
  <c r="O9" i="10"/>
  <c r="P9" i="10"/>
  <c r="Q9" i="10"/>
  <c r="T9" i="10" s="1"/>
  <c r="R9" i="10"/>
  <c r="U9" i="10" s="1"/>
  <c r="S9" i="10"/>
  <c r="P10" i="10"/>
  <c r="S10" i="10" s="1"/>
  <c r="Q10" i="10"/>
  <c r="R10" i="10"/>
  <c r="U10" i="10" s="1"/>
  <c r="C91" i="10" s="1"/>
  <c r="O11" i="10"/>
  <c r="P11" i="10"/>
  <c r="S11" i="10" s="1"/>
  <c r="Q11" i="10"/>
  <c r="T10" i="10" s="1"/>
  <c r="R11" i="10"/>
  <c r="U12" i="10" s="1"/>
  <c r="A12" i="10"/>
  <c r="O6" i="10" s="1"/>
  <c r="O12" i="10"/>
  <c r="P12" i="10"/>
  <c r="Q12" i="10"/>
  <c r="R12" i="10"/>
  <c r="S12" i="10"/>
  <c r="A13" i="10"/>
  <c r="O7" i="10" s="1"/>
  <c r="W8" i="10" s="1"/>
  <c r="A63" i="10" s="1"/>
  <c r="P13" i="10"/>
  <c r="S13" i="10" s="1"/>
  <c r="Q13" i="10"/>
  <c r="R13" i="10"/>
  <c r="U13" i="10"/>
  <c r="A14" i="10"/>
  <c r="O8" i="10" s="1"/>
  <c r="O14" i="10"/>
  <c r="W15" i="10" s="1"/>
  <c r="P14" i="10"/>
  <c r="S15" i="10" s="1"/>
  <c r="Q14" i="10"/>
  <c r="R14" i="10"/>
  <c r="U14" i="10" s="1"/>
  <c r="S14" i="10"/>
  <c r="B95" i="10" s="1"/>
  <c r="A15" i="10"/>
  <c r="O15" i="10"/>
  <c r="P15" i="10"/>
  <c r="Q15" i="10"/>
  <c r="R15" i="10"/>
  <c r="U16" i="10" s="1"/>
  <c r="B97" i="10" s="1"/>
  <c r="U15" i="10"/>
  <c r="C96" i="10" s="1"/>
  <c r="A16" i="10"/>
  <c r="O10" i="10" s="1"/>
  <c r="W11" i="10" s="1"/>
  <c r="O16" i="10"/>
  <c r="P16" i="10"/>
  <c r="Q16" i="10"/>
  <c r="R16" i="10"/>
  <c r="S16" i="10"/>
  <c r="A17" i="10"/>
  <c r="P17" i="10"/>
  <c r="S17" i="10" s="1"/>
  <c r="Q17" i="10"/>
  <c r="R17" i="10"/>
  <c r="U17" i="10"/>
  <c r="A18" i="10"/>
  <c r="O18" i="10"/>
  <c r="W19" i="10" s="1"/>
  <c r="P18" i="10"/>
  <c r="S19" i="10" s="1"/>
  <c r="Q18" i="10"/>
  <c r="R18" i="10"/>
  <c r="U18" i="10" s="1"/>
  <c r="S18" i="10"/>
  <c r="B99" i="10" s="1"/>
  <c r="A19" i="10"/>
  <c r="O13" i="10" s="1"/>
  <c r="W14" i="10" s="1"/>
  <c r="A69" i="10" s="1"/>
  <c r="O19" i="10"/>
  <c r="P19" i="10"/>
  <c r="Q19" i="10"/>
  <c r="T20" i="10" s="1"/>
  <c r="R19" i="10"/>
  <c r="U20" i="10" s="1"/>
  <c r="C100" i="10" s="1"/>
  <c r="U19" i="10"/>
  <c r="A20" i="10"/>
  <c r="O20" i="10"/>
  <c r="W20" i="10" s="1"/>
  <c r="P20" i="10"/>
  <c r="Q20" i="10"/>
  <c r="R20" i="10"/>
  <c r="S20" i="10"/>
  <c r="A21" i="10"/>
  <c r="P21" i="10"/>
  <c r="S21" i="10" s="1"/>
  <c r="Q21" i="10"/>
  <c r="R21" i="10"/>
  <c r="U21" i="10"/>
  <c r="A22" i="10"/>
  <c r="P22" i="10"/>
  <c r="S23" i="10" s="1"/>
  <c r="Q22" i="10"/>
  <c r="R22" i="10"/>
  <c r="U22" i="10" s="1"/>
  <c r="S22" i="10"/>
  <c r="A23" i="10"/>
  <c r="O17" i="10" s="1"/>
  <c r="W18" i="10" s="1"/>
  <c r="A73" i="10" s="1"/>
  <c r="P23" i="10"/>
  <c r="Q23" i="10"/>
  <c r="T24" i="10" s="1"/>
  <c r="R23" i="10"/>
  <c r="U24" i="10" s="1"/>
  <c r="U23" i="10"/>
  <c r="C101" i="10" s="1"/>
  <c r="A24" i="10"/>
  <c r="O24" i="10"/>
  <c r="P24" i="10"/>
  <c r="Q24" i="10"/>
  <c r="R24" i="10"/>
  <c r="S24" i="10"/>
  <c r="A25" i="10"/>
  <c r="P25" i="10"/>
  <c r="S25" i="10" s="1"/>
  <c r="Q25" i="10"/>
  <c r="R25" i="10"/>
  <c r="U25" i="10"/>
  <c r="A26" i="10"/>
  <c r="O26" i="10"/>
  <c r="P26" i="10"/>
  <c r="Q26" i="10"/>
  <c r="R26" i="10"/>
  <c r="U26" i="10" s="1"/>
  <c r="S26" i="10"/>
  <c r="A27" i="10"/>
  <c r="O21" i="10" s="1"/>
  <c r="W21" i="10" s="1"/>
  <c r="O27" i="10"/>
  <c r="P27" i="10"/>
  <c r="Q27" i="10"/>
  <c r="T27" i="10" s="1"/>
  <c r="R27" i="10"/>
  <c r="S27" i="10"/>
  <c r="Y27" i="10"/>
  <c r="T58" i="10" s="1"/>
  <c r="A28" i="10"/>
  <c r="O22" i="10" s="1"/>
  <c r="W22" i="10" s="1"/>
  <c r="A77" i="10" s="1"/>
  <c r="P28" i="10"/>
  <c r="Q28" i="10"/>
  <c r="R28" i="10"/>
  <c r="Y28" i="10"/>
  <c r="A29" i="10"/>
  <c r="O23" i="10" s="1"/>
  <c r="W23" i="10" s="1"/>
  <c r="A30" i="10"/>
  <c r="A31" i="10"/>
  <c r="O25" i="10" s="1"/>
  <c r="A32" i="10"/>
  <c r="A33" i="10"/>
  <c r="A34" i="10"/>
  <c r="O28" i="10" s="1"/>
  <c r="A42" i="10"/>
  <c r="A48" i="10"/>
  <c r="A52" i="10"/>
  <c r="A54" i="10"/>
  <c r="A56" i="10"/>
  <c r="T56" i="10"/>
  <c r="R62" i="10"/>
  <c r="X62" i="10"/>
  <c r="F86" i="10"/>
  <c r="X138" i="10" s="1"/>
  <c r="X86" i="10"/>
  <c r="C97" i="10"/>
  <c r="B100" i="10"/>
  <c r="D100" i="10" s="1"/>
  <c r="F139" i="10"/>
  <c r="G139" i="10"/>
  <c r="F140" i="10"/>
  <c r="G140" i="10"/>
  <c r="Y140" i="10"/>
  <c r="Z140" i="10"/>
  <c r="H141" i="10"/>
  <c r="I141" i="10"/>
  <c r="Y141" i="10"/>
  <c r="Z141" i="10"/>
  <c r="AA141" i="10"/>
  <c r="H142" i="10"/>
  <c r="I142" i="10"/>
  <c r="X142" i="10"/>
  <c r="Y142" i="10"/>
  <c r="Z142" i="10"/>
  <c r="F143" i="10"/>
  <c r="G143" i="10"/>
  <c r="I143" i="10"/>
  <c r="J143" i="10"/>
  <c r="K143" i="10"/>
  <c r="Z143" i="10"/>
  <c r="AA143" i="10"/>
  <c r="AC143" i="10"/>
  <c r="F144" i="10"/>
  <c r="G144" i="10"/>
  <c r="J144" i="10"/>
  <c r="K144" i="10"/>
  <c r="K161" i="10" s="1"/>
  <c r="X144" i="10"/>
  <c r="Y144" i="10"/>
  <c r="Z144" i="10"/>
  <c r="AC144" i="10"/>
  <c r="AD144" i="10"/>
  <c r="G145" i="10"/>
  <c r="H145" i="10"/>
  <c r="I145" i="10"/>
  <c r="L145" i="10"/>
  <c r="M145" i="10"/>
  <c r="Y145" i="10"/>
  <c r="Z145" i="10"/>
  <c r="AA145" i="10"/>
  <c r="AD145" i="10"/>
  <c r="AE145" i="10"/>
  <c r="G146" i="10"/>
  <c r="H146" i="10"/>
  <c r="I146" i="10"/>
  <c r="L146" i="10"/>
  <c r="M146" i="10"/>
  <c r="X146" i="10"/>
  <c r="Y146" i="10"/>
  <c r="Z146" i="10"/>
  <c r="AC146" i="10"/>
  <c r="AD146" i="10"/>
  <c r="AF146" i="10"/>
  <c r="F147" i="10"/>
  <c r="G147" i="10"/>
  <c r="J147" i="10"/>
  <c r="K147" i="10"/>
  <c r="M147" i="10"/>
  <c r="N147" i="10"/>
  <c r="O147" i="10"/>
  <c r="Z147" i="10"/>
  <c r="AA147" i="10"/>
  <c r="AC147" i="10"/>
  <c r="AD147" i="10"/>
  <c r="AE147" i="10"/>
  <c r="AE164" i="10" s="1"/>
  <c r="F148" i="10"/>
  <c r="G148" i="10"/>
  <c r="G165" i="10" s="1"/>
  <c r="I148" i="10"/>
  <c r="J148" i="10"/>
  <c r="K148" i="10"/>
  <c r="K165" i="10" s="1"/>
  <c r="N148" i="10"/>
  <c r="O148" i="10"/>
  <c r="X148" i="10"/>
  <c r="Y148" i="10"/>
  <c r="Z148" i="10"/>
  <c r="Z165" i="10" s="1"/>
  <c r="AC148" i="10"/>
  <c r="AD148" i="10"/>
  <c r="AF148" i="10"/>
  <c r="AG148" i="10"/>
  <c r="AH148" i="10"/>
  <c r="AH165" i="10" s="1"/>
  <c r="H149" i="10"/>
  <c r="I149" i="10"/>
  <c r="I166" i="10" s="1"/>
  <c r="K149" i="10"/>
  <c r="L149" i="10"/>
  <c r="M149" i="10"/>
  <c r="M166" i="10" s="1"/>
  <c r="N149" i="10"/>
  <c r="P149" i="10"/>
  <c r="Q149" i="10"/>
  <c r="X149" i="10"/>
  <c r="Y149" i="10"/>
  <c r="Z149" i="10"/>
  <c r="AA149" i="10"/>
  <c r="AB149" i="10"/>
  <c r="AC149" i="10"/>
  <c r="AD149" i="10"/>
  <c r="AE149" i="10"/>
  <c r="AF149" i="10"/>
  <c r="AG149" i="10"/>
  <c r="AH149" i="10"/>
  <c r="AH166" i="10" s="1"/>
  <c r="AI149" i="10"/>
  <c r="F150" i="10"/>
  <c r="G150" i="10"/>
  <c r="H150" i="10"/>
  <c r="H167" i="10" s="1"/>
  <c r="I150" i="10"/>
  <c r="J150" i="10"/>
  <c r="K150" i="10"/>
  <c r="L150" i="10"/>
  <c r="L167" i="10" s="1"/>
  <c r="M150" i="10"/>
  <c r="N150" i="10"/>
  <c r="O150" i="10"/>
  <c r="P150" i="10"/>
  <c r="Q150" i="10"/>
  <c r="R150" i="10"/>
  <c r="X150" i="10"/>
  <c r="Y150" i="10"/>
  <c r="Z167" i="10" s="1"/>
  <c r="Z150" i="10"/>
  <c r="AA167" i="10" s="1"/>
  <c r="AA150" i="10"/>
  <c r="AB150" i="10"/>
  <c r="AC150" i="10"/>
  <c r="AD150" i="10"/>
  <c r="AE150" i="10"/>
  <c r="AF150" i="10"/>
  <c r="AG150" i="10"/>
  <c r="AH167" i="10" s="1"/>
  <c r="AH150" i="10"/>
  <c r="AI167" i="10" s="1"/>
  <c r="AI150" i="10"/>
  <c r="AJ150" i="10"/>
  <c r="F151" i="10"/>
  <c r="G151" i="10"/>
  <c r="H151" i="10"/>
  <c r="I151" i="10"/>
  <c r="J151" i="10"/>
  <c r="K168" i="10" s="1"/>
  <c r="K151" i="10"/>
  <c r="L168" i="10" s="1"/>
  <c r="L151" i="10"/>
  <c r="M151" i="10"/>
  <c r="N151" i="10"/>
  <c r="O151" i="10"/>
  <c r="P151" i="10"/>
  <c r="Q151" i="10"/>
  <c r="Q168" i="10" s="1"/>
  <c r="R151" i="10"/>
  <c r="S168" i="10" s="1"/>
  <c r="S151" i="10"/>
  <c r="X151" i="10"/>
  <c r="Y151" i="10"/>
  <c r="Z151" i="10"/>
  <c r="AA151" i="10"/>
  <c r="AA168" i="10" s="1"/>
  <c r="AB151" i="10"/>
  <c r="AC151" i="10"/>
  <c r="AC168" i="10" s="1"/>
  <c r="AD151" i="10"/>
  <c r="AE168" i="10" s="1"/>
  <c r="AE151" i="10"/>
  <c r="AF168" i="10" s="1"/>
  <c r="AF151" i="10"/>
  <c r="AG151" i="10"/>
  <c r="AH151" i="10"/>
  <c r="AI151" i="10"/>
  <c r="AI168" i="10" s="1"/>
  <c r="AJ151" i="10"/>
  <c r="AK151" i="10"/>
  <c r="AK168" i="10" s="1"/>
  <c r="F152" i="10"/>
  <c r="G169" i="10" s="1"/>
  <c r="G152" i="10"/>
  <c r="H169" i="10" s="1"/>
  <c r="H152" i="10"/>
  <c r="I152" i="10"/>
  <c r="J152" i="10"/>
  <c r="K152" i="10"/>
  <c r="K169" i="10" s="1"/>
  <c r="L152" i="10"/>
  <c r="M152" i="10"/>
  <c r="M169" i="10" s="1"/>
  <c r="N152" i="10"/>
  <c r="O169" i="10" s="1"/>
  <c r="O152" i="10"/>
  <c r="P169" i="10" s="1"/>
  <c r="P152" i="10"/>
  <c r="Q152" i="10"/>
  <c r="R152" i="10"/>
  <c r="S152" i="10"/>
  <c r="S169" i="10" s="1"/>
  <c r="T152" i="10"/>
  <c r="X152" i="10"/>
  <c r="Y169" i="10" s="1"/>
  <c r="Y152" i="10"/>
  <c r="Z169" i="10" s="1"/>
  <c r="Z152" i="10"/>
  <c r="AA169" i="10" s="1"/>
  <c r="AA152" i="10"/>
  <c r="AB152" i="10"/>
  <c r="AC152" i="10"/>
  <c r="AD152" i="10"/>
  <c r="AD169" i="10" s="1"/>
  <c r="AE152" i="10"/>
  <c r="AF152" i="10"/>
  <c r="AG152" i="10"/>
  <c r="AH152" i="10"/>
  <c r="AI152" i="10"/>
  <c r="AJ152" i="10"/>
  <c r="AK152" i="10"/>
  <c r="AL152" i="10"/>
  <c r="AL169" i="10" s="1"/>
  <c r="F153" i="10"/>
  <c r="G153" i="10"/>
  <c r="G170" i="10" s="1"/>
  <c r="H153" i="10"/>
  <c r="I153" i="10"/>
  <c r="J153" i="10"/>
  <c r="K153" i="10"/>
  <c r="L153" i="10"/>
  <c r="M153" i="10"/>
  <c r="M170" i="10" s="1"/>
  <c r="N153" i="10"/>
  <c r="O153" i="10"/>
  <c r="O170" i="10" s="1"/>
  <c r="P153" i="10"/>
  <c r="Q153" i="10"/>
  <c r="R153" i="10"/>
  <c r="S153" i="10"/>
  <c r="T153" i="10"/>
  <c r="U153" i="10"/>
  <c r="U170" i="10" s="1"/>
  <c r="X153" i="10"/>
  <c r="Y153" i="10"/>
  <c r="Y170" i="10" s="1"/>
  <c r="Z153" i="10"/>
  <c r="AA153" i="10"/>
  <c r="AB153" i="10"/>
  <c r="AC153" i="10"/>
  <c r="AD153" i="10"/>
  <c r="AE153" i="10"/>
  <c r="AE170" i="10" s="1"/>
  <c r="AF153" i="10"/>
  <c r="AG153" i="10"/>
  <c r="AG170" i="10" s="1"/>
  <c r="AH153" i="10"/>
  <c r="AI153" i="10"/>
  <c r="AJ153" i="10"/>
  <c r="AK153" i="10"/>
  <c r="AL153" i="10"/>
  <c r="AM153" i="10"/>
  <c r="AM170" i="10" s="1"/>
  <c r="F154" i="10"/>
  <c r="X154" i="10"/>
  <c r="X155" i="10"/>
  <c r="F156" i="10"/>
  <c r="G156" i="10"/>
  <c r="F157" i="10"/>
  <c r="G157" i="10"/>
  <c r="Z157" i="10"/>
  <c r="I158" i="10"/>
  <c r="Z158" i="10"/>
  <c r="AA158" i="10"/>
  <c r="I159" i="10"/>
  <c r="X159" i="10"/>
  <c r="Y159" i="10"/>
  <c r="Z159" i="10"/>
  <c r="F160" i="10"/>
  <c r="G160" i="10"/>
  <c r="J160" i="10"/>
  <c r="K160" i="10"/>
  <c r="AA160" i="10"/>
  <c r="F161" i="10"/>
  <c r="G161" i="10"/>
  <c r="X161" i="10"/>
  <c r="Y161" i="10"/>
  <c r="Z161" i="10"/>
  <c r="AD161" i="10"/>
  <c r="H162" i="10"/>
  <c r="I162" i="10"/>
  <c r="M162" i="10"/>
  <c r="Z162" i="10"/>
  <c r="AA162" i="10"/>
  <c r="AE162" i="10"/>
  <c r="H163" i="10"/>
  <c r="I163" i="10"/>
  <c r="M163" i="10"/>
  <c r="X163" i="10"/>
  <c r="Y163" i="10"/>
  <c r="Z163" i="10"/>
  <c r="AD163" i="10"/>
  <c r="F164" i="10"/>
  <c r="G164" i="10"/>
  <c r="K164" i="10"/>
  <c r="N164" i="10"/>
  <c r="O164" i="10"/>
  <c r="AA164" i="10"/>
  <c r="AD164" i="10"/>
  <c r="F165" i="10"/>
  <c r="J165" i="10"/>
  <c r="O165" i="10"/>
  <c r="X165" i="10"/>
  <c r="Y165" i="10"/>
  <c r="AD165" i="10"/>
  <c r="AG165" i="10"/>
  <c r="L166" i="10"/>
  <c r="N166" i="10"/>
  <c r="Q166" i="10"/>
  <c r="X166" i="10"/>
  <c r="Y166" i="10"/>
  <c r="Z166" i="10"/>
  <c r="AB166" i="10"/>
  <c r="AC166" i="10"/>
  <c r="AD166" i="10"/>
  <c r="AE166" i="10"/>
  <c r="AF166" i="10"/>
  <c r="AG166" i="10"/>
  <c r="F167" i="10"/>
  <c r="G167" i="10"/>
  <c r="I167" i="10"/>
  <c r="J167" i="10"/>
  <c r="K167" i="10"/>
  <c r="N167" i="10"/>
  <c r="O167" i="10"/>
  <c r="P167" i="10"/>
  <c r="Q167" i="10"/>
  <c r="R167" i="10"/>
  <c r="X167" i="10"/>
  <c r="AB167" i="10"/>
  <c r="AC167" i="10"/>
  <c r="AD167" i="10"/>
  <c r="AE167" i="10"/>
  <c r="AF167" i="10"/>
  <c r="AG167" i="10"/>
  <c r="AJ167" i="10"/>
  <c r="F168" i="10"/>
  <c r="G168" i="10"/>
  <c r="H168" i="10"/>
  <c r="M168" i="10"/>
  <c r="N168" i="10"/>
  <c r="O168" i="10"/>
  <c r="P168" i="10"/>
  <c r="X168" i="10"/>
  <c r="Y168" i="10"/>
  <c r="Z168" i="10"/>
  <c r="AB168" i="10"/>
  <c r="AG168" i="10"/>
  <c r="AH168" i="10"/>
  <c r="AJ168" i="10"/>
  <c r="I169" i="10"/>
  <c r="J169" i="10"/>
  <c r="L169" i="10"/>
  <c r="Q169" i="10"/>
  <c r="R169" i="10"/>
  <c r="T169" i="10"/>
  <c r="AB169" i="10"/>
  <c r="AC169" i="10"/>
  <c r="AE169" i="10"/>
  <c r="AJ169" i="10"/>
  <c r="AK169" i="10"/>
  <c r="F170" i="10"/>
  <c r="K170" i="10"/>
  <c r="L170" i="10"/>
  <c r="N170" i="10"/>
  <c r="S170" i="10"/>
  <c r="T170" i="10"/>
  <c r="X170" i="10"/>
  <c r="AC170" i="10"/>
  <c r="AD170" i="10"/>
  <c r="AF170" i="10"/>
  <c r="AK170" i="10"/>
  <c r="AL170" i="10"/>
  <c r="F173" i="10"/>
  <c r="F180" i="10"/>
  <c r="F182" i="10"/>
  <c r="F185" i="10"/>
  <c r="S195" i="10"/>
  <c r="S196" i="10" s="1"/>
  <c r="S197" i="10" s="1"/>
  <c r="S198" i="10" s="1"/>
  <c r="S199" i="10" s="1"/>
  <c r="S200" i="10" s="1"/>
  <c r="S201" i="10" s="1"/>
  <c r="S202" i="10" s="1"/>
  <c r="S203" i="10" s="1"/>
  <c r="S204" i="10" s="1"/>
  <c r="S205" i="10" s="1"/>
  <c r="S206" i="10" s="1"/>
  <c r="S207" i="10" s="1"/>
  <c r="S208" i="10" s="1"/>
  <c r="S209" i="10" s="1"/>
  <c r="S210" i="10" s="1"/>
  <c r="S211" i="10" s="1"/>
  <c r="S212" i="10" s="1"/>
  <c r="S213" i="10" s="1"/>
  <c r="S214" i="10" s="1"/>
  <c r="S215" i="10" s="1"/>
  <c r="S216" i="10" s="1"/>
  <c r="S217" i="10" s="1"/>
  <c r="S218" i="10" s="1"/>
  <c r="S219" i="10" s="1"/>
  <c r="S220" i="10" s="1"/>
  <c r="S221" i="10" s="1"/>
  <c r="S222" i="10" s="1"/>
  <c r="S223" i="10" s="1"/>
  <c r="S224" i="10" s="1"/>
  <c r="S225" i="10" s="1"/>
  <c r="S226" i="10" s="1"/>
  <c r="S227" i="10" s="1"/>
  <c r="S228" i="10" s="1"/>
  <c r="S229" i="10" s="1"/>
  <c r="S230" i="10" s="1"/>
  <c r="S231" i="10" s="1"/>
  <c r="S232" i="10" s="1"/>
  <c r="S233" i="10" s="1"/>
  <c r="S234" i="10" s="1"/>
  <c r="S235" i="10" s="1"/>
  <c r="S236" i="10" s="1"/>
  <c r="S237" i="10" s="1"/>
  <c r="S238" i="10" s="1"/>
  <c r="S239" i="10" s="1"/>
  <c r="S240" i="10" s="1"/>
  <c r="S241" i="10" s="1"/>
  <c r="S242" i="10" s="1"/>
  <c r="S243" i="10" s="1"/>
  <c r="S244" i="10" s="1"/>
  <c r="S245" i="10" s="1"/>
  <c r="S246" i="10" s="1"/>
  <c r="S247" i="10" s="1"/>
  <c r="S248" i="10" s="1"/>
  <c r="S249" i="10" s="1"/>
  <c r="S250" i="10" s="1"/>
  <c r="S251" i="10" s="1"/>
  <c r="S252" i="10" s="1"/>
  <c r="S253" i="10" s="1"/>
  <c r="S254" i="10" s="1"/>
  <c r="S255" i="10" s="1"/>
  <c r="S256" i="10" s="1"/>
  <c r="S257" i="10" s="1"/>
  <c r="S258" i="10" s="1"/>
  <c r="S259" i="10" s="1"/>
  <c r="S260" i="10" s="1"/>
  <c r="S261" i="10" s="1"/>
  <c r="S262" i="10" s="1"/>
  <c r="S263" i="10" s="1"/>
  <c r="S264" i="10" s="1"/>
  <c r="S265" i="10" s="1"/>
  <c r="S266" i="10" s="1"/>
  <c r="S267" i="10" s="1"/>
  <c r="S268" i="10" s="1"/>
  <c r="S269" i="10" s="1"/>
  <c r="S270" i="10" s="1"/>
  <c r="S271" i="10" s="1"/>
  <c r="S272" i="10" s="1"/>
  <c r="S273" i="10" s="1"/>
  <c r="S274" i="10" s="1"/>
  <c r="S275" i="10" s="1"/>
  <c r="S276" i="10" s="1"/>
  <c r="S277" i="10" s="1"/>
  <c r="S278" i="10" s="1"/>
  <c r="S279" i="10" s="1"/>
  <c r="S280" i="10" s="1"/>
  <c r="S281" i="10" s="1"/>
  <c r="S282" i="10" s="1"/>
  <c r="S283" i="10" s="1"/>
  <c r="S284" i="10" s="1"/>
  <c r="S285" i="10" s="1"/>
  <c r="S286" i="10" s="1"/>
  <c r="S287" i="10" s="1"/>
  <c r="S288" i="10" s="1"/>
  <c r="S289" i="10" s="1"/>
  <c r="S290" i="10" s="1"/>
  <c r="S291" i="10" s="1"/>
  <c r="S292" i="10" s="1"/>
  <c r="S293" i="10" s="1"/>
  <c r="S294" i="10" s="1"/>
  <c r="S295" i="10" s="1"/>
  <c r="S296" i="10" s="1"/>
  <c r="S297" i="10" s="1"/>
  <c r="S298" i="10" s="1"/>
  <c r="S299" i="10" s="1"/>
  <c r="S300" i="10" s="1"/>
  <c r="S301" i="10" s="1"/>
  <c r="S302" i="10" s="1"/>
  <c r="S303" i="10" s="1"/>
  <c r="S304" i="10" s="1"/>
  <c r="S305" i="10" s="1"/>
  <c r="S306" i="10" s="1"/>
  <c r="S307" i="10" s="1"/>
  <c r="S308" i="10" s="1"/>
  <c r="S309" i="10" s="1"/>
  <c r="S310" i="10" s="1"/>
  <c r="S311" i="10" s="1"/>
  <c r="S312" i="10" s="1"/>
  <c r="S313" i="10" s="1"/>
  <c r="X195" i="10"/>
  <c r="X196" i="10"/>
  <c r="X197" i="10"/>
  <c r="X198" i="10" s="1"/>
  <c r="X199" i="10" s="1"/>
  <c r="X200" i="10" s="1"/>
  <c r="X201" i="10" s="1"/>
  <c r="X202" i="10" s="1"/>
  <c r="X203" i="10" s="1"/>
  <c r="X204" i="10" s="1"/>
  <c r="X205" i="10" s="1"/>
  <c r="X206" i="10" s="1"/>
  <c r="X207" i="10" s="1"/>
  <c r="X208" i="10" s="1"/>
  <c r="X209" i="10" s="1"/>
  <c r="X210" i="10" s="1"/>
  <c r="X211" i="10" s="1"/>
  <c r="X212" i="10" s="1"/>
  <c r="X213" i="10" s="1"/>
  <c r="X214" i="10" s="1"/>
  <c r="X215" i="10" s="1"/>
  <c r="X216" i="10" s="1"/>
  <c r="X217" i="10" s="1"/>
  <c r="X218" i="10" s="1"/>
  <c r="X219" i="10" s="1"/>
  <c r="X220" i="10" s="1"/>
  <c r="X221" i="10" s="1"/>
  <c r="X222" i="10" s="1"/>
  <c r="X223" i="10" s="1"/>
  <c r="X224" i="10" s="1"/>
  <c r="X225" i="10" s="1"/>
  <c r="X226" i="10" s="1"/>
  <c r="X227" i="10" s="1"/>
  <c r="X228" i="10" s="1"/>
  <c r="X229" i="10" s="1"/>
  <c r="X230" i="10" s="1"/>
  <c r="X231" i="10" s="1"/>
  <c r="X232" i="10" s="1"/>
  <c r="X233" i="10" s="1"/>
  <c r="X234" i="10" s="1"/>
  <c r="X235" i="10" s="1"/>
  <c r="X236" i="10" s="1"/>
  <c r="X237" i="10" s="1"/>
  <c r="X238" i="10" s="1"/>
  <c r="X239" i="10" s="1"/>
  <c r="X240" i="10" s="1"/>
  <c r="X241" i="10" s="1"/>
  <c r="X242" i="10" s="1"/>
  <c r="X243" i="10" s="1"/>
  <c r="X244" i="10" s="1"/>
  <c r="X245" i="10" s="1"/>
  <c r="X246" i="10" s="1"/>
  <c r="X247" i="10" s="1"/>
  <c r="X248" i="10" s="1"/>
  <c r="X249" i="10" s="1"/>
  <c r="X250" i="10" s="1"/>
  <c r="X251" i="10" s="1"/>
  <c r="X252" i="10" s="1"/>
  <c r="X253" i="10" s="1"/>
  <c r="X254" i="10" s="1"/>
  <c r="X255" i="10" s="1"/>
  <c r="X256" i="10" s="1"/>
  <c r="X257" i="10" s="1"/>
  <c r="X258" i="10" s="1"/>
  <c r="X259" i="10" s="1"/>
  <c r="X260" i="10" s="1"/>
  <c r="X261" i="10" s="1"/>
  <c r="X262" i="10" s="1"/>
  <c r="X263" i="10" s="1"/>
  <c r="X264" i="10" s="1"/>
  <c r="X265" i="10" s="1"/>
  <c r="X266" i="10" s="1"/>
  <c r="X267" i="10" s="1"/>
  <c r="X268" i="10" s="1"/>
  <c r="X269" i="10" s="1"/>
  <c r="X270" i="10" s="1"/>
  <c r="X271" i="10" s="1"/>
  <c r="X272" i="10" s="1"/>
  <c r="X273" i="10" s="1"/>
  <c r="X274" i="10" s="1"/>
  <c r="X275" i="10" s="1"/>
  <c r="X276" i="10" s="1"/>
  <c r="X277" i="10" s="1"/>
  <c r="X278" i="10" s="1"/>
  <c r="X279" i="10" s="1"/>
  <c r="X280" i="10" s="1"/>
  <c r="X281" i="10" s="1"/>
  <c r="X282" i="10" s="1"/>
  <c r="X283" i="10" s="1"/>
  <c r="X284" i="10" s="1"/>
  <c r="X285" i="10" s="1"/>
  <c r="X286" i="10" s="1"/>
  <c r="X287" i="10" s="1"/>
  <c r="X288" i="10" s="1"/>
  <c r="X289" i="10" s="1"/>
  <c r="X290" i="10" s="1"/>
  <c r="X291" i="10" s="1"/>
  <c r="X292" i="10" s="1"/>
  <c r="X293" i="10" s="1"/>
  <c r="X294" i="10" s="1"/>
  <c r="X295" i="10" s="1"/>
  <c r="X296" i="10" s="1"/>
  <c r="X297" i="10" s="1"/>
  <c r="X298" i="10" s="1"/>
  <c r="X299" i="10" s="1"/>
  <c r="X300" i="10" s="1"/>
  <c r="X301" i="10" s="1"/>
  <c r="X302" i="10" s="1"/>
  <c r="X303" i="10" s="1"/>
  <c r="X304" i="10" s="1"/>
  <c r="X305" i="10" s="1"/>
  <c r="X306" i="10" s="1"/>
  <c r="X307" i="10" s="1"/>
  <c r="X308" i="10" s="1"/>
  <c r="X309" i="10" s="1"/>
  <c r="X310" i="10" s="1"/>
  <c r="X311" i="10" s="1"/>
  <c r="X312" i="10" s="1"/>
  <c r="X313" i="10" s="1"/>
  <c r="AO31" i="9"/>
  <c r="AH31" i="9"/>
  <c r="AO30" i="9"/>
  <c r="AH30" i="9"/>
  <c r="AO29" i="9"/>
  <c r="AH29" i="9"/>
  <c r="AO28" i="9"/>
  <c r="AH28" i="9"/>
  <c r="AO27" i="9"/>
  <c r="AH27" i="9"/>
  <c r="AO26" i="9"/>
  <c r="AH26" i="9"/>
  <c r="AO25" i="9"/>
  <c r="AH25" i="9"/>
  <c r="AO24" i="9"/>
  <c r="AH24" i="9"/>
  <c r="AO23" i="9"/>
  <c r="AH23" i="9"/>
  <c r="AO22" i="9"/>
  <c r="AH22" i="9"/>
  <c r="AO21" i="9"/>
  <c r="AH21" i="9"/>
  <c r="AO20" i="9"/>
  <c r="AH20" i="9"/>
  <c r="AO19" i="9"/>
  <c r="AH19" i="9"/>
  <c r="AO18" i="9"/>
  <c r="AH18" i="9"/>
  <c r="AO17" i="9"/>
  <c r="AH17" i="9"/>
  <c r="AO16" i="9"/>
  <c r="AH16" i="9"/>
  <c r="AO15" i="9"/>
  <c r="AH15" i="9"/>
  <c r="AO14" i="9"/>
  <c r="AH14" i="9"/>
  <c r="AO13" i="9"/>
  <c r="AH13" i="9"/>
  <c r="AO12" i="9"/>
  <c r="AH12" i="9"/>
  <c r="AA10" i="9"/>
  <c r="Z10" i="9"/>
  <c r="T10" i="9"/>
  <c r="S10" i="9"/>
  <c r="L10" i="9"/>
  <c r="K10" i="9"/>
  <c r="E10" i="9"/>
  <c r="D10" i="9"/>
  <c r="AQ9" i="9"/>
  <c r="AP9" i="9"/>
  <c r="AJ9" i="9"/>
  <c r="AI9" i="9"/>
  <c r="X2" i="9"/>
  <c r="P170" i="10" l="1"/>
  <c r="X169" i="10"/>
  <c r="AH170" i="10"/>
  <c r="Z170" i="10"/>
  <c r="H170" i="10"/>
  <c r="H185" i="10"/>
  <c r="G182" i="10"/>
  <c r="G173" i="10"/>
  <c r="G176" i="10"/>
  <c r="G181" i="10"/>
  <c r="G180" i="10"/>
  <c r="G185" i="10"/>
  <c r="G188" i="10"/>
  <c r="AG169" i="10"/>
  <c r="AF169" i="10"/>
  <c r="J168" i="10"/>
  <c r="I168" i="10"/>
  <c r="F169" i="10"/>
  <c r="F184" i="10"/>
  <c r="B90" i="10"/>
  <c r="C90" i="10"/>
  <c r="G175" i="10" s="1"/>
  <c r="F172" i="10"/>
  <c r="N169" i="10"/>
  <c r="R168" i="10"/>
  <c r="AD168" i="10"/>
  <c r="Y167" i="10"/>
  <c r="AI170" i="10"/>
  <c r="AA170" i="10"/>
  <c r="Q170" i="10"/>
  <c r="I170" i="10"/>
  <c r="AH169" i="10"/>
  <c r="A78" i="10"/>
  <c r="A57" i="10"/>
  <c r="C99" i="10"/>
  <c r="G184" i="10" s="1"/>
  <c r="T17" i="10"/>
  <c r="T18" i="10"/>
  <c r="D99" i="10" s="1"/>
  <c r="H184" i="10" s="1"/>
  <c r="W17" i="10"/>
  <c r="W16" i="10"/>
  <c r="B101" i="10"/>
  <c r="B98" i="10"/>
  <c r="C98" i="10"/>
  <c r="G183" i="10" s="1"/>
  <c r="A66" i="10"/>
  <c r="A45" i="10"/>
  <c r="D95" i="10"/>
  <c r="H180" i="10" s="1"/>
  <c r="C95" i="10"/>
  <c r="T13" i="10"/>
  <c r="T14" i="10"/>
  <c r="W13" i="10"/>
  <c r="W12" i="10"/>
  <c r="W10" i="10"/>
  <c r="A74" i="10"/>
  <c r="A53" i="10"/>
  <c r="B94" i="10"/>
  <c r="C94" i="10"/>
  <c r="G179" i="10" s="1"/>
  <c r="W7" i="10"/>
  <c r="T8" i="10"/>
  <c r="AJ170" i="10"/>
  <c r="AB170" i="10"/>
  <c r="R170" i="10"/>
  <c r="J170" i="10"/>
  <c r="AI169" i="10"/>
  <c r="A76" i="10"/>
  <c r="A55" i="10"/>
  <c r="T16" i="10"/>
  <c r="D97" i="10" s="1"/>
  <c r="H182" i="10" s="1"/>
  <c r="B96" i="10"/>
  <c r="U11" i="10"/>
  <c r="B91" i="10"/>
  <c r="W6" i="10"/>
  <c r="A70" i="10"/>
  <c r="A49" i="10"/>
  <c r="B93" i="10"/>
  <c r="C93" i="10"/>
  <c r="G178" i="10" s="1"/>
  <c r="C87" i="10"/>
  <c r="G172" i="10" s="1"/>
  <c r="J172" i="10" s="1"/>
  <c r="M167" i="10"/>
  <c r="AI166" i="10"/>
  <c r="AA166" i="10"/>
  <c r="T25" i="10"/>
  <c r="T26" i="10"/>
  <c r="W25" i="10"/>
  <c r="W24" i="10"/>
  <c r="T21" i="10"/>
  <c r="T22" i="10"/>
  <c r="P61" i="10"/>
  <c r="A75" i="10"/>
  <c r="W9" i="10"/>
  <c r="D88" i="10"/>
  <c r="H173" i="10" s="1"/>
  <c r="T6" i="10"/>
  <c r="D87" i="10" s="1"/>
  <c r="H172" i="10" s="1"/>
  <c r="K172" i="10" s="1"/>
  <c r="J149" i="10"/>
  <c r="AE148" i="10"/>
  <c r="P148" i="10"/>
  <c r="P165" i="10" s="1"/>
  <c r="H148" i="10"/>
  <c r="AB147" i="10"/>
  <c r="L147" i="10"/>
  <c r="AE146" i="10"/>
  <c r="N146" i="10"/>
  <c r="N163" i="10" s="1"/>
  <c r="F146" i="10"/>
  <c r="X145" i="10"/>
  <c r="F145" i="10"/>
  <c r="L144" i="10"/>
  <c r="L161" i="10" s="1"/>
  <c r="AB143" i="10"/>
  <c r="H143" i="10"/>
  <c r="J142" i="10"/>
  <c r="J159" i="10" s="1"/>
  <c r="X141" i="10"/>
  <c r="H140" i="10"/>
  <c r="H157" i="10" s="1"/>
  <c r="F138" i="10"/>
  <c r="F155" i="10" s="1"/>
  <c r="T23" i="10"/>
  <c r="T19" i="10"/>
  <c r="T15" i="10"/>
  <c r="T11" i="10"/>
  <c r="S8" i="10"/>
  <c r="O149" i="10"/>
  <c r="G149" i="10"/>
  <c r="AB148" i="10"/>
  <c r="M148" i="10"/>
  <c r="AG147" i="10"/>
  <c r="AG164" i="10" s="1"/>
  <c r="Y147" i="10"/>
  <c r="I147" i="10"/>
  <c r="AB146" i="10"/>
  <c r="K146" i="10"/>
  <c r="AC145" i="10"/>
  <c r="K145" i="10"/>
  <c r="AB144" i="10"/>
  <c r="I144" i="10"/>
  <c r="Y143" i="10"/>
  <c r="AB142" i="10"/>
  <c r="G142" i="10"/>
  <c r="G141" i="10"/>
  <c r="Y139" i="10"/>
  <c r="F149" i="10"/>
  <c r="F166" i="10" s="1"/>
  <c r="AA148" i="10"/>
  <c r="AA165" i="10" s="1"/>
  <c r="L148" i="10"/>
  <c r="L165" i="10" s="1"/>
  <c r="AF147" i="10"/>
  <c r="AF164" i="10" s="1"/>
  <c r="X147" i="10"/>
  <c r="X164" i="10" s="1"/>
  <c r="H147" i="10"/>
  <c r="H164" i="10" s="1"/>
  <c r="AA146" i="10"/>
  <c r="AA163" i="10" s="1"/>
  <c r="J146" i="10"/>
  <c r="J163" i="10" s="1"/>
  <c r="AB145" i="10"/>
  <c r="AB162" i="10" s="1"/>
  <c r="J145" i="10"/>
  <c r="J162" i="10" s="1"/>
  <c r="AA144" i="10"/>
  <c r="AA161" i="10" s="1"/>
  <c r="H144" i="10"/>
  <c r="H161" i="10" s="1"/>
  <c r="X143" i="10"/>
  <c r="X160" i="10" s="1"/>
  <c r="AA142" i="10"/>
  <c r="AA159" i="10" s="1"/>
  <c r="F142" i="10"/>
  <c r="F159" i="10" s="1"/>
  <c r="F141" i="10"/>
  <c r="F158" i="10" s="1"/>
  <c r="X139" i="10"/>
  <c r="X156" i="10" s="1"/>
  <c r="T12" i="10"/>
  <c r="X140" i="10"/>
  <c r="U27" i="10"/>
  <c r="C102" i="10" s="1"/>
  <c r="G191" i="10" s="1"/>
  <c r="E9" i="8"/>
  <c r="AB6" i="10" l="1"/>
  <c r="D40" i="10" s="1"/>
  <c r="N172" i="10"/>
  <c r="D61" i="10" s="1"/>
  <c r="J161" i="10"/>
  <c r="I161" i="10"/>
  <c r="H165" i="10"/>
  <c r="I165" i="10"/>
  <c r="D91" i="10"/>
  <c r="H176" i="10" s="1"/>
  <c r="F176" i="10"/>
  <c r="I172" i="10"/>
  <c r="AC161" i="10"/>
  <c r="AB161" i="10"/>
  <c r="N165" i="10"/>
  <c r="M165" i="10"/>
  <c r="F162" i="10"/>
  <c r="G162" i="10"/>
  <c r="C92" i="10"/>
  <c r="G177" i="10" s="1"/>
  <c r="B92" i="10"/>
  <c r="L162" i="10"/>
  <c r="K162" i="10"/>
  <c r="AC165" i="10"/>
  <c r="AB165" i="10"/>
  <c r="Y162" i="10"/>
  <c r="X162" i="10"/>
  <c r="AE165" i="10"/>
  <c r="AF165" i="10"/>
  <c r="D96" i="10"/>
  <c r="H181" i="10" s="1"/>
  <c r="F181" i="10"/>
  <c r="A65" i="10"/>
  <c r="A44" i="10"/>
  <c r="D90" i="10"/>
  <c r="H175" i="10" s="1"/>
  <c r="F175" i="10"/>
  <c r="Y156" i="10"/>
  <c r="K173" i="10" s="1"/>
  <c r="AD162" i="10"/>
  <c r="AC162" i="10"/>
  <c r="H166" i="10"/>
  <c r="G166" i="10"/>
  <c r="F163" i="10"/>
  <c r="G163" i="10"/>
  <c r="K166" i="10"/>
  <c r="J166" i="10"/>
  <c r="A79" i="10"/>
  <c r="A58" i="10"/>
  <c r="A67" i="10"/>
  <c r="A46" i="10"/>
  <c r="L163" i="10"/>
  <c r="K163" i="10"/>
  <c r="P166" i="10"/>
  <c r="O166" i="10"/>
  <c r="X158" i="10"/>
  <c r="Y158" i="10"/>
  <c r="A80" i="10"/>
  <c r="A59" i="10"/>
  <c r="W61" i="10"/>
  <c r="D93" i="10"/>
  <c r="H178" i="10" s="1"/>
  <c r="F178" i="10"/>
  <c r="A41" i="10"/>
  <c r="A62" i="10"/>
  <c r="A68" i="10"/>
  <c r="A47" i="10"/>
  <c r="D98" i="10"/>
  <c r="H183" i="10" s="1"/>
  <c r="F183" i="10"/>
  <c r="H159" i="10"/>
  <c r="G159" i="10"/>
  <c r="AC163" i="10"/>
  <c r="AB163" i="10"/>
  <c r="B89" i="10"/>
  <c r="C89" i="10"/>
  <c r="G174" i="10" s="1"/>
  <c r="AE163" i="10"/>
  <c r="AF163" i="10"/>
  <c r="D101" i="10"/>
  <c r="H188" i="10" s="1"/>
  <c r="F188" i="10"/>
  <c r="B102" i="10"/>
  <c r="AB159" i="10"/>
  <c r="J164" i="10"/>
  <c r="I164" i="10"/>
  <c r="I160" i="10"/>
  <c r="H160" i="10"/>
  <c r="M164" i="10"/>
  <c r="L164" i="10"/>
  <c r="A64" i="10"/>
  <c r="A43" i="10"/>
  <c r="D94" i="10"/>
  <c r="H179" i="10" s="1"/>
  <c r="F179" i="10"/>
  <c r="A71" i="10"/>
  <c r="A50" i="10"/>
  <c r="Y157" i="10"/>
  <c r="X157" i="10"/>
  <c r="H158" i="10"/>
  <c r="G158" i="10"/>
  <c r="Z160" i="10"/>
  <c r="Y160" i="10"/>
  <c r="Z164" i="10"/>
  <c r="Y164" i="10"/>
  <c r="AB160" i="10"/>
  <c r="AC160" i="10"/>
  <c r="AB164" i="10"/>
  <c r="AC164" i="10"/>
  <c r="A61" i="10"/>
  <c r="A40" i="10"/>
  <c r="A72" i="10"/>
  <c r="A51" i="10"/>
  <c r="J173" i="10"/>
  <c r="D4" i="6"/>
  <c r="F4" i="6" s="1"/>
  <c r="F12" i="6" s="1"/>
  <c r="D5" i="6"/>
  <c r="F5" i="6" s="1"/>
  <c r="D6" i="6"/>
  <c r="F6" i="6" s="1"/>
  <c r="D7" i="6"/>
  <c r="F7" i="6" s="1"/>
  <c r="F13" i="6" s="1"/>
  <c r="D8" i="6"/>
  <c r="F8" i="6" s="1"/>
  <c r="D9" i="6"/>
  <c r="F9" i="6" s="1"/>
  <c r="D10" i="6"/>
  <c r="F10" i="6" s="1"/>
  <c r="D11" i="6"/>
  <c r="F11" i="6" s="1"/>
  <c r="D13" i="4"/>
  <c r="F13" i="4" s="1"/>
  <c r="F12" i="4"/>
  <c r="D12" i="4"/>
  <c r="D11" i="4"/>
  <c r="D10" i="4"/>
  <c r="D9" i="4"/>
  <c r="D8" i="4"/>
  <c r="F7" i="4"/>
  <c r="D7" i="4"/>
  <c r="F6" i="4"/>
  <c r="D6" i="4"/>
  <c r="D5" i="4"/>
  <c r="F5" i="4" s="1"/>
  <c r="F4" i="4"/>
  <c r="D4" i="4"/>
  <c r="P23" i="3"/>
  <c r="P22" i="3"/>
  <c r="D14" i="3"/>
  <c r="F14" i="3" s="1"/>
  <c r="F13" i="3"/>
  <c r="D13" i="3"/>
  <c r="D12" i="3"/>
  <c r="D11" i="3"/>
  <c r="D10" i="3"/>
  <c r="D9" i="3"/>
  <c r="F9" i="3" s="1"/>
  <c r="F8" i="3"/>
  <c r="D8" i="3"/>
  <c r="D7" i="3"/>
  <c r="D6" i="3"/>
  <c r="F6" i="3" s="1"/>
  <c r="F5" i="3"/>
  <c r="D5" i="3"/>
  <c r="D4" i="3"/>
  <c r="AB7" i="10" l="1"/>
  <c r="D41" i="10" s="1"/>
  <c r="N173" i="10"/>
  <c r="D62" i="10" s="1"/>
  <c r="D89" i="10"/>
  <c r="H174" i="10" s="1"/>
  <c r="K174" i="10" s="1"/>
  <c r="F174" i="10"/>
  <c r="D102" i="10"/>
  <c r="H191" i="10" s="1"/>
  <c r="F191" i="10"/>
  <c r="D92" i="10"/>
  <c r="H177" i="10" s="1"/>
  <c r="F177" i="10"/>
  <c r="Y6" i="10"/>
  <c r="C61" i="10" s="1"/>
  <c r="X6" i="10"/>
  <c r="B61" i="10" s="1"/>
  <c r="M172" i="10"/>
  <c r="AA6" i="10" s="1"/>
  <c r="C40" i="10" s="1"/>
  <c r="L172" i="10"/>
  <c r="Z6" i="10" s="1"/>
  <c r="B40" i="10" s="1"/>
  <c r="I173" i="10"/>
  <c r="J174" i="10"/>
  <c r="J175" i="10" s="1"/>
  <c r="K175" i="10"/>
  <c r="F11" i="4"/>
  <c r="F10" i="4"/>
  <c r="F14" i="4" s="1"/>
  <c r="F9" i="4"/>
  <c r="F8" i="4"/>
  <c r="F4" i="3"/>
  <c r="F12" i="3"/>
  <c r="F11" i="3"/>
  <c r="F10" i="3"/>
  <c r="F7" i="3"/>
  <c r="K177" i="10" l="1"/>
  <c r="J176" i="10"/>
  <c r="AB9" i="10"/>
  <c r="D43" i="10" s="1"/>
  <c r="N175" i="10"/>
  <c r="D64" i="10" s="1"/>
  <c r="K176" i="10"/>
  <c r="I174" i="10"/>
  <c r="X7" i="10"/>
  <c r="B62" i="10" s="1"/>
  <c r="Y7" i="10"/>
  <c r="C62" i="10" s="1"/>
  <c r="L173" i="10"/>
  <c r="Z7" i="10" s="1"/>
  <c r="B41" i="10" s="1"/>
  <c r="M173" i="10"/>
  <c r="AA7" i="10" s="1"/>
  <c r="C41" i="10" s="1"/>
  <c r="AB8" i="10"/>
  <c r="D42" i="10" s="1"/>
  <c r="N174" i="10"/>
  <c r="D63" i="10" s="1"/>
  <c r="F15" i="4"/>
  <c r="F16" i="3"/>
  <c r="F15" i="3"/>
  <c r="AB11" i="10" l="1"/>
  <c r="D45" i="10" s="1"/>
  <c r="J177" i="10"/>
  <c r="X8" i="10"/>
  <c r="B63" i="10" s="1"/>
  <c r="Y8" i="10"/>
  <c r="C63" i="10" s="1"/>
  <c r="L174" i="10"/>
  <c r="Z8" i="10" s="1"/>
  <c r="B42" i="10" s="1"/>
  <c r="M174" i="10"/>
  <c r="AA8" i="10" s="1"/>
  <c r="C42" i="10" s="1"/>
  <c r="I175" i="10"/>
  <c r="K179" i="10"/>
  <c r="AB10" i="10"/>
  <c r="D44" i="10" s="1"/>
  <c r="N176" i="10"/>
  <c r="D65" i="10" s="1"/>
  <c r="K178" i="10"/>
  <c r="AB13" i="10" l="1"/>
  <c r="D47" i="10" s="1"/>
  <c r="N179" i="10"/>
  <c r="D68" i="10" s="1"/>
  <c r="J178" i="10"/>
  <c r="J179" i="10"/>
  <c r="J180" i="10" s="1"/>
  <c r="N177" i="10"/>
  <c r="D66" i="10" s="1"/>
  <c r="AB12" i="10"/>
  <c r="D46" i="10" s="1"/>
  <c r="N178" i="10"/>
  <c r="D67" i="10" s="1"/>
  <c r="K180" i="10"/>
  <c r="Y9" i="10"/>
  <c r="C64" i="10" s="1"/>
  <c r="X9" i="10"/>
  <c r="B64" i="10" s="1"/>
  <c r="L175" i="10"/>
  <c r="Z9" i="10" s="1"/>
  <c r="B43" i="10" s="1"/>
  <c r="M175" i="10"/>
  <c r="AA9" i="10" s="1"/>
  <c r="C43" i="10" s="1"/>
  <c r="I177" i="10"/>
  <c r="I176" i="10"/>
  <c r="J182" i="10" l="1"/>
  <c r="X11" i="10"/>
  <c r="B66" i="10" s="1"/>
  <c r="Y11" i="10"/>
  <c r="C66" i="10" s="1"/>
  <c r="L177" i="10"/>
  <c r="Z11" i="10" s="1"/>
  <c r="B45" i="10" s="1"/>
  <c r="M177" i="10"/>
  <c r="AA11" i="10" s="1"/>
  <c r="C45" i="10" s="1"/>
  <c r="J181" i="10"/>
  <c r="J183" i="10" s="1"/>
  <c r="X10" i="10"/>
  <c r="B65" i="10" s="1"/>
  <c r="Y10" i="10"/>
  <c r="C65" i="10" s="1"/>
  <c r="M176" i="10"/>
  <c r="AA10" i="10" s="1"/>
  <c r="C44" i="10" s="1"/>
  <c r="L176" i="10"/>
  <c r="Z10" i="10" s="1"/>
  <c r="B44" i="10" s="1"/>
  <c r="I178" i="10"/>
  <c r="AB14" i="10"/>
  <c r="D48" i="10" s="1"/>
  <c r="N180" i="10"/>
  <c r="D69" i="10" s="1"/>
  <c r="K181" i="10"/>
  <c r="Y12" i="10" l="1"/>
  <c r="C67" i="10" s="1"/>
  <c r="X12" i="10"/>
  <c r="B67" i="10" s="1"/>
  <c r="L178" i="10"/>
  <c r="Z12" i="10" s="1"/>
  <c r="B46" i="10" s="1"/>
  <c r="M178" i="10"/>
  <c r="AA12" i="10" s="1"/>
  <c r="C46" i="10" s="1"/>
  <c r="AB15" i="10"/>
  <c r="D49" i="10" s="1"/>
  <c r="N181" i="10"/>
  <c r="D70" i="10" s="1"/>
  <c r="K182" i="10"/>
  <c r="K183" i="10" s="1"/>
  <c r="I179" i="10"/>
  <c r="J184" i="10"/>
  <c r="J185" i="10" s="1"/>
  <c r="I180" i="10"/>
  <c r="AB17" i="10" l="1"/>
  <c r="D51" i="10" s="1"/>
  <c r="N183" i="10"/>
  <c r="D72" i="10" s="1"/>
  <c r="X13" i="10"/>
  <c r="B68" i="10" s="1"/>
  <c r="Y13" i="10"/>
  <c r="C68" i="10" s="1"/>
  <c r="L179" i="10"/>
  <c r="Z13" i="10" s="1"/>
  <c r="B47" i="10" s="1"/>
  <c r="M179" i="10"/>
  <c r="AA13" i="10" s="1"/>
  <c r="C47" i="10" s="1"/>
  <c r="X14" i="10"/>
  <c r="B69" i="10" s="1"/>
  <c r="Y14" i="10"/>
  <c r="C69" i="10" s="1"/>
  <c r="M180" i="10"/>
  <c r="AA14" i="10" s="1"/>
  <c r="C48" i="10" s="1"/>
  <c r="L180" i="10"/>
  <c r="Z14" i="10" s="1"/>
  <c r="B48" i="10" s="1"/>
  <c r="K184" i="10"/>
  <c r="K185" i="10" s="1"/>
  <c r="AB16" i="10"/>
  <c r="D50" i="10" s="1"/>
  <c r="N182" i="10"/>
  <c r="D71" i="10" s="1"/>
  <c r="I181" i="10"/>
  <c r="J188" i="10"/>
  <c r="J186" i="10" s="1"/>
  <c r="J187" i="10" s="1"/>
  <c r="AB19" i="10" l="1"/>
  <c r="D53" i="10" s="1"/>
  <c r="N185" i="10"/>
  <c r="D74" i="10" s="1"/>
  <c r="J191" i="10"/>
  <c r="J189" i="10" s="1"/>
  <c r="J190" i="10" s="1"/>
  <c r="X15" i="10"/>
  <c r="B70" i="10" s="1"/>
  <c r="Y15" i="10"/>
  <c r="C70" i="10" s="1"/>
  <c r="L181" i="10"/>
  <c r="Z15" i="10" s="1"/>
  <c r="B49" i="10" s="1"/>
  <c r="M181" i="10"/>
  <c r="AA15" i="10" s="1"/>
  <c r="C49" i="10" s="1"/>
  <c r="I183" i="10"/>
  <c r="AB18" i="10"/>
  <c r="D52" i="10" s="1"/>
  <c r="N184" i="10"/>
  <c r="D73" i="10" s="1"/>
  <c r="K188" i="10"/>
  <c r="I182" i="10"/>
  <c r="AB22" i="10" l="1"/>
  <c r="D56" i="10" s="1"/>
  <c r="N188" i="10"/>
  <c r="D77" i="10" s="1"/>
  <c r="K191" i="10"/>
  <c r="I185" i="10"/>
  <c r="K186" i="10"/>
  <c r="X17" i="10"/>
  <c r="B72" i="10" s="1"/>
  <c r="Y17" i="10"/>
  <c r="C72" i="10" s="1"/>
  <c r="M183" i="10"/>
  <c r="AA17" i="10" s="1"/>
  <c r="C51" i="10" s="1"/>
  <c r="L183" i="10"/>
  <c r="Z17" i="10" s="1"/>
  <c r="B51" i="10" s="1"/>
  <c r="Y16" i="10"/>
  <c r="C71" i="10" s="1"/>
  <c r="X16" i="10"/>
  <c r="B71" i="10" s="1"/>
  <c r="L182" i="10"/>
  <c r="Z16" i="10" s="1"/>
  <c r="B50" i="10" s="1"/>
  <c r="M182" i="10"/>
  <c r="AA16" i="10" s="1"/>
  <c r="C50" i="10" s="1"/>
  <c r="I188" i="10"/>
  <c r="I184" i="10"/>
  <c r="X22" i="10" l="1"/>
  <c r="B77" i="10" s="1"/>
  <c r="Y22" i="10"/>
  <c r="C77" i="10" s="1"/>
  <c r="L188" i="10"/>
  <c r="Z22" i="10" s="1"/>
  <c r="B56" i="10" s="1"/>
  <c r="M188" i="10"/>
  <c r="AA22" i="10" s="1"/>
  <c r="C56" i="10" s="1"/>
  <c r="AB20" i="10"/>
  <c r="D54" i="10" s="1"/>
  <c r="N186" i="10"/>
  <c r="D75" i="10" s="1"/>
  <c r="P203" i="10" s="1"/>
  <c r="K187" i="10"/>
  <c r="AB25" i="10"/>
  <c r="D59" i="10" s="1"/>
  <c r="N191" i="10"/>
  <c r="D80" i="10" s="1"/>
  <c r="P193" i="10" s="1"/>
  <c r="K189" i="10"/>
  <c r="X19" i="10"/>
  <c r="B74" i="10" s="1"/>
  <c r="Y19" i="10"/>
  <c r="C74" i="10" s="1"/>
  <c r="M185" i="10"/>
  <c r="AA19" i="10" s="1"/>
  <c r="C53" i="10" s="1"/>
  <c r="L185" i="10"/>
  <c r="Z19" i="10" s="1"/>
  <c r="B53" i="10" s="1"/>
  <c r="I186" i="10"/>
  <c r="X18" i="10"/>
  <c r="B73" i="10" s="1"/>
  <c r="Y18" i="10"/>
  <c r="C73" i="10" s="1"/>
  <c r="L184" i="10"/>
  <c r="Z18" i="10" s="1"/>
  <c r="B52" i="10" s="1"/>
  <c r="M184" i="10"/>
  <c r="AA18" i="10" s="1"/>
  <c r="C52" i="10" s="1"/>
  <c r="I191" i="10"/>
  <c r="Q203" i="10" l="1"/>
  <c r="P207" i="10" s="1"/>
  <c r="P206" i="10"/>
  <c r="P205" i="10"/>
  <c r="P210" i="10"/>
  <c r="Y20" i="10"/>
  <c r="C75" i="10" s="1"/>
  <c r="I187" i="10"/>
  <c r="X20" i="10"/>
  <c r="B75" i="10" s="1"/>
  <c r="L186" i="10"/>
  <c r="Z20" i="10" s="1"/>
  <c r="B54" i="10" s="1"/>
  <c r="M186" i="10"/>
  <c r="AA20" i="10" s="1"/>
  <c r="C54" i="10" s="1"/>
  <c r="X25" i="10"/>
  <c r="B80" i="10" s="1"/>
  <c r="Y25" i="10"/>
  <c r="C80" i="10" s="1"/>
  <c r="L191" i="10"/>
  <c r="Z25" i="10" s="1"/>
  <c r="B59" i="10" s="1"/>
  <c r="M191" i="10"/>
  <c r="AA25" i="10" s="1"/>
  <c r="C59" i="10" s="1"/>
  <c r="I189" i="10"/>
  <c r="AB23" i="10"/>
  <c r="D57" i="10" s="1"/>
  <c r="K190" i="10"/>
  <c r="N189" i="10"/>
  <c r="D78" i="10" s="1"/>
  <c r="P200" i="10"/>
  <c r="Q193" i="10"/>
  <c r="P197" i="10" s="1"/>
  <c r="P194" i="10"/>
  <c r="P196" i="10"/>
  <c r="AB21" i="10"/>
  <c r="D55" i="10" s="1"/>
  <c r="N187" i="10"/>
  <c r="D76" i="10" s="1"/>
  <c r="X21" i="10" l="1"/>
  <c r="B76" i="10" s="1"/>
  <c r="Y21" i="10"/>
  <c r="C76" i="10" s="1"/>
  <c r="L187" i="10"/>
  <c r="Z21" i="10" s="1"/>
  <c r="B55" i="10" s="1"/>
  <c r="M187" i="10"/>
  <c r="AA21" i="10" s="1"/>
  <c r="C55" i="10" s="1"/>
  <c r="W194" i="10"/>
  <c r="T199" i="10"/>
  <c r="W200" i="10"/>
  <c r="T206" i="10"/>
  <c r="W207" i="10"/>
  <c r="U270" i="10"/>
  <c r="U274" i="10"/>
  <c r="U278" i="10"/>
  <c r="T197" i="10"/>
  <c r="W198" i="10"/>
  <c r="T202" i="10"/>
  <c r="T203" i="10"/>
  <c r="W204" i="10"/>
  <c r="W196" i="10"/>
  <c r="T201" i="10"/>
  <c r="T204" i="10"/>
  <c r="T207" i="10"/>
  <c r="U271" i="10"/>
  <c r="V274" i="10"/>
  <c r="V277" i="10"/>
  <c r="V280" i="10"/>
  <c r="U283" i="10"/>
  <c r="U287" i="10"/>
  <c r="W201" i="10"/>
  <c r="T209" i="10"/>
  <c r="V271" i="10"/>
  <c r="V283" i="10"/>
  <c r="V287" i="10"/>
  <c r="V291" i="10"/>
  <c r="V295" i="10"/>
  <c r="U299" i="10"/>
  <c r="W301" i="10"/>
  <c r="W305" i="10"/>
  <c r="W309" i="10"/>
  <c r="W313" i="10"/>
  <c r="T195" i="10"/>
  <c r="T198" i="10"/>
  <c r="W209" i="10"/>
  <c r="U273" i="10"/>
  <c r="U276" i="10"/>
  <c r="U279" i="10"/>
  <c r="U282" i="10"/>
  <c r="U286" i="10"/>
  <c r="U290" i="10"/>
  <c r="U294" i="10"/>
  <c r="U298" i="10"/>
  <c r="V299" i="10"/>
  <c r="T300" i="10"/>
  <c r="T304" i="10"/>
  <c r="T308" i="10"/>
  <c r="T312" i="10"/>
  <c r="W195" i="10"/>
  <c r="W203" i="10"/>
  <c r="W206" i="10"/>
  <c r="U268" i="10"/>
  <c r="V270" i="10"/>
  <c r="V273" i="10"/>
  <c r="V276" i="10"/>
  <c r="V279" i="10"/>
  <c r="V282" i="10"/>
  <c r="V286" i="10"/>
  <c r="V290" i="10"/>
  <c r="V294" i="10"/>
  <c r="V298" i="10"/>
  <c r="W299" i="10"/>
  <c r="W300" i="10"/>
  <c r="W304" i="10"/>
  <c r="W308" i="10"/>
  <c r="W312" i="10"/>
  <c r="W197" i="10"/>
  <c r="T200" i="10"/>
  <c r="U281" i="10"/>
  <c r="U285" i="10"/>
  <c r="U289" i="10"/>
  <c r="U293" i="10"/>
  <c r="U297" i="10"/>
  <c r="T303" i="10"/>
  <c r="T307" i="10"/>
  <c r="T311" i="10"/>
  <c r="T194" i="10"/>
  <c r="W205" i="10"/>
  <c r="W208" i="10"/>
  <c r="V269" i="10"/>
  <c r="V272" i="10"/>
  <c r="V275" i="10"/>
  <c r="U284" i="10"/>
  <c r="U288" i="10"/>
  <c r="U292" i="10"/>
  <c r="U296" i="10"/>
  <c r="T302" i="10"/>
  <c r="T306" i="10"/>
  <c r="T310" i="10"/>
  <c r="U277" i="10"/>
  <c r="V288" i="10"/>
  <c r="V292" i="10"/>
  <c r="T299" i="10"/>
  <c r="W302" i="10"/>
  <c r="T309" i="10"/>
  <c r="W202" i="10"/>
  <c r="U272" i="10"/>
  <c r="V289" i="10"/>
  <c r="T313" i="10"/>
  <c r="T208" i="10"/>
  <c r="V278" i="10"/>
  <c r="V284" i="10"/>
  <c r="V293" i="10"/>
  <c r="W303" i="10"/>
  <c r="W310" i="10"/>
  <c r="T196" i="10"/>
  <c r="V285" i="10"/>
  <c r="V297" i="10"/>
  <c r="W307" i="10"/>
  <c r="U280" i="10"/>
  <c r="W311" i="10"/>
  <c r="V296" i="10"/>
  <c r="T205" i="10"/>
  <c r="U269" i="10"/>
  <c r="U275" i="10"/>
  <c r="V281" i="10"/>
  <c r="W306" i="10"/>
  <c r="U291" i="10"/>
  <c r="T301" i="10"/>
  <c r="W199" i="10"/>
  <c r="U295" i="10"/>
  <c r="T305" i="10"/>
  <c r="P195" i="10"/>
  <c r="P198" i="10" s="1"/>
  <c r="X23" i="10"/>
  <c r="B78" i="10" s="1"/>
  <c r="Y23" i="10"/>
  <c r="C78" i="10" s="1"/>
  <c r="M189" i="10"/>
  <c r="AA23" i="10" s="1"/>
  <c r="C57" i="10" s="1"/>
  <c r="I190" i="10"/>
  <c r="L189" i="10"/>
  <c r="Z23" i="10" s="1"/>
  <c r="B57" i="10" s="1"/>
  <c r="Y195" i="10"/>
  <c r="AB196" i="10"/>
  <c r="Y201" i="10"/>
  <c r="AB209" i="10"/>
  <c r="AA272" i="10"/>
  <c r="AA276" i="10"/>
  <c r="AA280" i="10"/>
  <c r="Y199" i="10"/>
  <c r="AB200" i="10"/>
  <c r="Y206" i="10"/>
  <c r="AB207" i="10"/>
  <c r="AB194" i="10"/>
  <c r="AB197" i="10"/>
  <c r="AB202" i="10"/>
  <c r="AB205" i="10"/>
  <c r="AB208" i="10"/>
  <c r="Z269" i="10"/>
  <c r="Z272" i="10"/>
  <c r="AA275" i="10"/>
  <c r="AA278" i="10"/>
  <c r="AA281" i="10"/>
  <c r="AA285" i="10"/>
  <c r="AB199" i="10"/>
  <c r="AA269" i="10"/>
  <c r="Z284" i="10"/>
  <c r="Z288" i="10"/>
  <c r="Z292" i="10"/>
  <c r="Z296" i="10"/>
  <c r="Y302" i="10"/>
  <c r="Y306" i="10"/>
  <c r="Y310" i="10"/>
  <c r="AB195" i="10"/>
  <c r="Y196" i="10"/>
  <c r="Y204" i="10"/>
  <c r="Y207" i="10"/>
  <c r="Z271" i="10"/>
  <c r="Z274" i="10"/>
  <c r="Z277" i="10"/>
  <c r="Z280" i="10"/>
  <c r="AA284" i="10"/>
  <c r="AA288" i="10"/>
  <c r="AA292" i="10"/>
  <c r="AA296" i="10"/>
  <c r="AB302" i="10"/>
  <c r="AB306" i="10"/>
  <c r="AB310" i="10"/>
  <c r="AB201" i="10"/>
  <c r="AB204" i="10"/>
  <c r="AA271" i="10"/>
  <c r="AA274" i="10"/>
  <c r="AA277" i="10"/>
  <c r="Z283" i="10"/>
  <c r="Z287" i="10"/>
  <c r="Z291" i="10"/>
  <c r="Z295" i="10"/>
  <c r="Y301" i="10"/>
  <c r="Y305" i="10"/>
  <c r="Y309" i="10"/>
  <c r="Y313" i="10"/>
  <c r="Y198" i="10"/>
  <c r="Y209" i="10"/>
  <c r="Z279" i="10"/>
  <c r="AA283" i="10"/>
  <c r="AA287" i="10"/>
  <c r="AA291" i="10"/>
  <c r="AA295" i="10"/>
  <c r="AB301" i="10"/>
  <c r="AB305" i="10"/>
  <c r="AB309" i="10"/>
  <c r="AB313" i="10"/>
  <c r="AB198" i="10"/>
  <c r="Y200" i="10"/>
  <c r="AB203" i="10"/>
  <c r="AA270" i="10"/>
  <c r="AA273" i="10"/>
  <c r="AA282" i="10"/>
  <c r="AA286" i="10"/>
  <c r="AA290" i="10"/>
  <c r="AA294" i="10"/>
  <c r="AA298" i="10"/>
  <c r="Z299" i="10"/>
  <c r="AB300" i="10"/>
  <c r="AB304" i="10"/>
  <c r="AB308" i="10"/>
  <c r="AB312" i="10"/>
  <c r="Y194" i="10"/>
  <c r="Y299" i="10"/>
  <c r="Y202" i="10"/>
  <c r="Y208" i="10"/>
  <c r="Z278" i="10"/>
  <c r="Z289" i="10"/>
  <c r="AA299" i="10"/>
  <c r="Y203" i="10"/>
  <c r="Z273" i="10"/>
  <c r="AA279" i="10"/>
  <c r="AA289" i="10"/>
  <c r="Z293" i="10"/>
  <c r="AB299" i="10"/>
  <c r="Y303" i="10"/>
  <c r="Z285" i="10"/>
  <c r="Z290" i="10"/>
  <c r="AA293" i="10"/>
  <c r="Z297" i="10"/>
  <c r="Y300" i="10"/>
  <c r="AB303" i="10"/>
  <c r="Y307" i="10"/>
  <c r="Z294" i="10"/>
  <c r="Z286" i="10"/>
  <c r="AA297" i="10"/>
  <c r="Y304" i="10"/>
  <c r="AB307" i="10"/>
  <c r="Y311" i="10"/>
  <c r="Y197" i="10"/>
  <c r="Y205" i="10"/>
  <c r="Z275" i="10"/>
  <c r="Z281" i="10"/>
  <c r="Z298" i="10"/>
  <c r="Y308" i="10"/>
  <c r="AB311" i="10"/>
  <c r="AB206" i="10"/>
  <c r="Z270" i="10"/>
  <c r="Z276" i="10"/>
  <c r="Z282" i="10"/>
  <c r="Y312" i="10"/>
  <c r="AB24" i="10"/>
  <c r="D58" i="10" s="1"/>
  <c r="N190" i="10"/>
  <c r="D79" i="10" s="1"/>
  <c r="P204" i="10"/>
  <c r="P208" i="10" s="1"/>
  <c r="Y24" i="10" l="1"/>
  <c r="C79" i="10" s="1"/>
  <c r="L190" i="10"/>
  <c r="Z24" i="10" s="1"/>
  <c r="B58" i="10" s="1"/>
  <c r="X24" i="10"/>
  <c r="B79" i="10" s="1"/>
  <c r="M190" i="10"/>
  <c r="AA24" i="10" s="1"/>
  <c r="C58" i="10" s="1"/>
</calcChain>
</file>

<file path=xl/sharedStrings.xml><?xml version="1.0" encoding="utf-8"?>
<sst xmlns="http://schemas.openxmlformats.org/spreadsheetml/2006/main" count="446" uniqueCount="220">
  <si>
    <t>Average</t>
  </si>
  <si>
    <t>microhardness machine 0.5kgf 30 secs</t>
  </si>
  <si>
    <t>St. Dev</t>
  </si>
  <si>
    <t>LT</t>
  </si>
  <si>
    <t>comments</t>
  </si>
  <si>
    <t>Vickers hardness</t>
  </si>
  <si>
    <t>Force</t>
  </si>
  <si>
    <t>arithmetic mean</t>
  </si>
  <si>
    <t>d2 (vertical)</t>
  </si>
  <si>
    <t>d1(horizontal)</t>
  </si>
  <si>
    <t>Locaation]</t>
  </si>
  <si>
    <t>1200 sic</t>
  </si>
  <si>
    <t>AA7075ffblt22</t>
  </si>
  <si>
    <t>AA7075-Ab104 AR</t>
  </si>
  <si>
    <t>Ab uncut AR</t>
  </si>
  <si>
    <t>AA7075-fpb-lt25 nAb AR</t>
  </si>
  <si>
    <t>XRD parameters</t>
  </si>
  <si>
    <t>Material</t>
  </si>
  <si>
    <t>Aluminium (Cr_Ka) 2</t>
  </si>
  <si>
    <t>Tube</t>
  </si>
  <si>
    <t>Cr K-Alpha</t>
  </si>
  <si>
    <t>Aperture size</t>
  </si>
  <si>
    <t>2 mm</t>
  </si>
  <si>
    <t>Plane</t>
  </si>
  <si>
    <t>FCC, hkl-311</t>
  </si>
  <si>
    <t>Bragg angle</t>
  </si>
  <si>
    <t>elastic constants</t>
  </si>
  <si>
    <t>(1/2)S2</t>
  </si>
  <si>
    <t>(-S1)</t>
  </si>
  <si>
    <t>no of angle</t>
  </si>
  <si>
    <t>oscillations</t>
  </si>
  <si>
    <t>exp time</t>
  </si>
  <si>
    <t>no of exps</t>
  </si>
  <si>
    <t>Sample</t>
  </si>
  <si>
    <t>LSP Condition</t>
  </si>
  <si>
    <t>Smax</t>
  </si>
  <si>
    <t>Smin</t>
  </si>
  <si>
    <t>Shear</t>
  </si>
  <si>
    <t>4 pt bend</t>
  </si>
  <si>
    <t>FPBLT5</t>
  </si>
  <si>
    <t>before LSP</t>
  </si>
  <si>
    <t>after 1 layer LSP</t>
  </si>
  <si>
    <t>after 2 layers LSP</t>
  </si>
  <si>
    <t>after 3 layers</t>
  </si>
  <si>
    <t>block</t>
  </si>
  <si>
    <t>SCC Sample 1</t>
  </si>
  <si>
    <t>3 layers</t>
  </si>
  <si>
    <t>SCC Sample 2</t>
  </si>
  <si>
    <t>LPwC</t>
  </si>
  <si>
    <t>LT-18</t>
  </si>
  <si>
    <t>LT-19</t>
  </si>
  <si>
    <t>LT-21</t>
  </si>
  <si>
    <t>LT-22</t>
  </si>
  <si>
    <t>LT-23</t>
  </si>
  <si>
    <t>LT-24</t>
  </si>
  <si>
    <t>LT-25</t>
  </si>
  <si>
    <t>LT-26</t>
  </si>
  <si>
    <t>LT-27</t>
  </si>
  <si>
    <t>repeat</t>
  </si>
  <si>
    <t>LPwC oxide removed</t>
  </si>
  <si>
    <t xml:space="preserve">AA7075 Bend Bar ABLATIVE Coating </t>
  </si>
  <si>
    <t>AA7075 Bend Bar NO ABLATIVE Coating</t>
  </si>
  <si>
    <r>
      <t xml:space="preserve">Samples from South Africa </t>
    </r>
    <r>
      <rPr>
        <sz val="11"/>
        <color rgb="FFFF0000"/>
        <rFont val="Calibri"/>
        <family val="2"/>
        <scheme val="minor"/>
      </rPr>
      <t>(Gauge orientation is opposite to UK measurement)</t>
    </r>
  </si>
  <si>
    <t>Hole 1</t>
  </si>
  <si>
    <t>Centre of bar</t>
  </si>
  <si>
    <t>Hole 2</t>
  </si>
  <si>
    <t>Right of center (5mm from edge of LSP Patch)</t>
  </si>
  <si>
    <t>3 GW/cm^2</t>
  </si>
  <si>
    <t>5 GW/cm^2</t>
  </si>
  <si>
    <t>Hole Dia</t>
  </si>
  <si>
    <t>mm</t>
  </si>
  <si>
    <t>Gauge 1</t>
  </si>
  <si>
    <t>Scanning Direction (Parallel with the width of bar)</t>
  </si>
  <si>
    <t>Stepping Direction</t>
  </si>
  <si>
    <t>Gauge 2</t>
  </si>
  <si>
    <t>At 45 degree</t>
  </si>
  <si>
    <t>Gauge 3</t>
  </si>
  <si>
    <t>Stepping Direction (Parallel with the length of bar)</t>
  </si>
  <si>
    <t xml:space="preserve">Scanning Direction </t>
  </si>
  <si>
    <t>Residual Stresses (MPa)</t>
  </si>
  <si>
    <t>s1</t>
  </si>
  <si>
    <t>s3</t>
  </si>
  <si>
    <t>depth</t>
  </si>
  <si>
    <t>principal</t>
  </si>
  <si>
    <t>direct</t>
  </si>
  <si>
    <t>shear</t>
  </si>
  <si>
    <t>Depth [mm]</t>
  </si>
  <si>
    <t>sigma on 1 [MPa]</t>
  </si>
  <si>
    <t>sigma on 3 [MPa]</t>
  </si>
  <si>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m</t>
    </r>
  </si>
  <si>
    <t>smax</t>
  </si>
  <si>
    <t>smin</t>
  </si>
  <si>
    <t>t13</t>
  </si>
  <si>
    <t>half</t>
  </si>
  <si>
    <t>min</t>
  </si>
  <si>
    <t>max</t>
  </si>
  <si>
    <t>minimum principal</t>
  </si>
  <si>
    <t>maximum principal</t>
  </si>
  <si>
    <t>full</t>
  </si>
  <si>
    <t>b'</t>
  </si>
  <si>
    <t>a'</t>
  </si>
  <si>
    <t>b</t>
  </si>
  <si>
    <t>a</t>
  </si>
  <si>
    <t>interpolated</t>
  </si>
  <si>
    <t>JL   KL</t>
  </si>
  <si>
    <t>B</t>
  </si>
  <si>
    <t>T</t>
  </si>
  <si>
    <t>Q</t>
  </si>
  <si>
    <t>P</t>
  </si>
  <si>
    <t>HBF</t>
  </si>
  <si>
    <t>Poisson's ratio =</t>
  </si>
  <si>
    <t>GPa</t>
  </si>
  <si>
    <t>Young's Modulus =</t>
  </si>
  <si>
    <t>angle</t>
  </si>
  <si>
    <t>Principal Stresses</t>
  </si>
  <si>
    <t>Residual Stresses</t>
  </si>
  <si>
    <t>circumferential</t>
  </si>
  <si>
    <t>direction 3</t>
  </si>
  <si>
    <t>radial</t>
  </si>
  <si>
    <t>direction 1</t>
  </si>
  <si>
    <t>Hole Diameter</t>
  </si>
  <si>
    <t>MAY05</t>
  </si>
  <si>
    <t>PSW</t>
  </si>
  <si>
    <t>[Stresscraft RS INT v5.1.3]</t>
  </si>
  <si>
    <t>e3</t>
  </si>
  <si>
    <t>e2</t>
  </si>
  <si>
    <t>e1</t>
  </si>
  <si>
    <t>Relaxed Strains</t>
  </si>
  <si>
    <t>EA</t>
  </si>
  <si>
    <t>Gauge Type</t>
  </si>
  <si>
    <t>62</t>
  </si>
  <si>
    <t>Gauge Size</t>
  </si>
  <si>
    <t>Fig. No.</t>
  </si>
  <si>
    <t>Gauge No.</t>
  </si>
  <si>
    <r>
      <t>s</t>
    </r>
    <r>
      <rPr>
        <sz val="9"/>
        <rFont val="Arial"/>
      </rPr>
      <t>min</t>
    </r>
  </si>
  <si>
    <r>
      <t>s</t>
    </r>
    <r>
      <rPr>
        <sz val="9"/>
        <rFont val="Arial"/>
      </rPr>
      <t>max</t>
    </r>
  </si>
  <si>
    <r>
      <t>m</t>
    </r>
    <r>
      <rPr>
        <sz val="9"/>
        <rFont val="Arial"/>
      </rPr>
      <t>m</t>
    </r>
  </si>
  <si>
    <r>
      <t>e</t>
    </r>
    <r>
      <rPr>
        <sz val="9"/>
        <rFont val="Arial"/>
      </rPr>
      <t>3</t>
    </r>
  </si>
  <si>
    <r>
      <t>e</t>
    </r>
    <r>
      <rPr>
        <sz val="9"/>
        <rFont val="Arial"/>
      </rPr>
      <t>2</t>
    </r>
  </si>
  <si>
    <r>
      <t>e</t>
    </r>
    <r>
      <rPr>
        <sz val="9"/>
        <rFont val="Arial"/>
      </rPr>
      <t>1</t>
    </r>
  </si>
  <si>
    <t>Poisson' ratio</t>
  </si>
  <si>
    <t>smoothed</t>
  </si>
  <si>
    <t>measured</t>
  </si>
  <si>
    <t>Young's modulus</t>
  </si>
  <si>
    <r>
      <t>Relaxed Strains (</t>
    </r>
    <r>
      <rPr>
        <sz val="9"/>
        <rFont val="Symbol"/>
        <family val="1"/>
        <charset val="2"/>
      </rPr>
      <t>me</t>
    </r>
    <r>
      <rPr>
        <sz val="9"/>
        <rFont val="Arial"/>
        <family val="2"/>
      </rPr>
      <t>)</t>
    </r>
  </si>
  <si>
    <r>
      <t xml:space="preserve"> m</t>
    </r>
    <r>
      <rPr>
        <sz val="9"/>
        <rFont val="Arial"/>
        <family val="2"/>
      </rPr>
      <t>m</t>
    </r>
  </si>
  <si>
    <t>Item / Mtl</t>
  </si>
  <si>
    <t>Report No.</t>
  </si>
  <si>
    <t>GS =</t>
  </si>
  <si>
    <t>Stresscraft RS INT v5.1.3 Input/Output Data</t>
  </si>
  <si>
    <t>All tests below are from contact profilometer (Lc 800 for all but 1 um  polished samples which have Lc 250)</t>
  </si>
  <si>
    <t xml:space="preserve">AA7075-FPB-Lt1-1 </t>
  </si>
  <si>
    <t>untreated area</t>
  </si>
  <si>
    <t>AA7075-FPB-Lt1-2</t>
  </si>
  <si>
    <t>AA7075-FPB-LT8-1</t>
  </si>
  <si>
    <t>Ab</t>
  </si>
  <si>
    <t>AA7075-FPB-LT8-2</t>
  </si>
  <si>
    <t>AA7075-FPB-LT12-1</t>
  </si>
  <si>
    <t>Stress range</t>
  </si>
  <si>
    <t>Failure</t>
  </si>
  <si>
    <t>Ra</t>
  </si>
  <si>
    <t>Rz</t>
  </si>
  <si>
    <t>Rt</t>
  </si>
  <si>
    <t>Rsk</t>
  </si>
  <si>
    <t>AA7075-FPB-LT12-2</t>
  </si>
  <si>
    <t>L direction</t>
  </si>
  <si>
    <t>AA7075-FPB-LT5-1</t>
  </si>
  <si>
    <t>LT8</t>
  </si>
  <si>
    <t>surf IM</t>
  </si>
  <si>
    <t>AA7075-FPB-LT5-2</t>
  </si>
  <si>
    <t>LT12</t>
  </si>
  <si>
    <t>sub-surface</t>
  </si>
  <si>
    <t>AA7075-FPB-LT5-3</t>
  </si>
  <si>
    <t>LT5</t>
  </si>
  <si>
    <t>AA7075-FPB-LT5-4T</t>
  </si>
  <si>
    <t>LT10</t>
  </si>
  <si>
    <t>pit surf</t>
  </si>
  <si>
    <t>AA7075-FPB-LT10-1</t>
  </si>
  <si>
    <t>LT14</t>
  </si>
  <si>
    <t>Surf IM</t>
  </si>
  <si>
    <t>AA7075-FPB-LT10-2</t>
  </si>
  <si>
    <t>LT4</t>
  </si>
  <si>
    <t>AA7075-FPB-LT10-3</t>
  </si>
  <si>
    <t>AA7075-FPB-LT10-4T</t>
  </si>
  <si>
    <t>AA7075-FPB-LT14-1</t>
  </si>
  <si>
    <t>AA7075-FPB-LT14-2</t>
  </si>
  <si>
    <t>AA7075-FPB-LT14-3</t>
  </si>
  <si>
    <t>AA7075-FPB-LT14-4T</t>
  </si>
  <si>
    <t>AA7075-FPB-LT4-1</t>
  </si>
  <si>
    <t>AA7075-FPB-LT4-2</t>
  </si>
  <si>
    <t>AA7075-FPB-LT4-3T</t>
  </si>
  <si>
    <t>Lc 0.25mm</t>
  </si>
  <si>
    <t>AA7075-FPB-LT11-1</t>
  </si>
  <si>
    <t>1 um</t>
  </si>
  <si>
    <t>AA7075-FPB-LT11-2</t>
  </si>
  <si>
    <t>AA7075-FPB-LT25-1</t>
  </si>
  <si>
    <t>AA7075-FPB-LT25-2</t>
  </si>
  <si>
    <t>Baseline 1 um polish</t>
  </si>
  <si>
    <t>Baseline 1200 SiC grind</t>
  </si>
  <si>
    <t>Ab LSP</t>
  </si>
  <si>
    <t>Ra (um)</t>
  </si>
  <si>
    <t>Sa</t>
  </si>
  <si>
    <t>Average height</t>
  </si>
  <si>
    <t>Rq (um)</t>
  </si>
  <si>
    <t>Sq</t>
  </si>
  <si>
    <t>Root mean square height</t>
  </si>
  <si>
    <t>Rz (um)</t>
  </si>
  <si>
    <t>Sz</t>
  </si>
  <si>
    <t>Maximum height</t>
  </si>
  <si>
    <t>Rt (um)</t>
  </si>
  <si>
    <t>Sv</t>
  </si>
  <si>
    <t>Maximum valley</t>
  </si>
  <si>
    <t>Average roughness</t>
  </si>
  <si>
    <t>max Rz (um)</t>
  </si>
  <si>
    <t>Rq</t>
  </si>
  <si>
    <t>Root mean square roughness</t>
  </si>
  <si>
    <t>Meak peak to valley height</t>
  </si>
  <si>
    <t>Maximum peak to valley height</t>
  </si>
  <si>
    <t>Rv</t>
  </si>
  <si>
    <t>Maximum valley height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</si>
</sst>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name val="Arial"/>
    </font>
    <font>
      <sz val="10"/>
      <color indexed="22"/>
      <name val="Arial"/>
      <family val="2"/>
    </font>
    <font>
      <sz val="9"/>
      <color indexed="22"/>
      <name val="Arial"/>
      <family val="2"/>
    </font>
    <font>
      <sz val="8"/>
      <color indexed="22"/>
      <name val="Arial"/>
      <family val="2"/>
    </font>
    <font>
      <b/>
      <sz val="8"/>
      <color indexed="22"/>
      <name val="Arial"/>
      <family val="2"/>
    </font>
    <font>
      <i/>
      <sz val="10"/>
      <color indexed="22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i/>
      <sz val="10"/>
      <color indexed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9"/>
      <name val="Arial"/>
    </font>
    <font>
      <b/>
      <i/>
      <sz val="9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sz val="9"/>
      <name val="Symbol"/>
      <family val="1"/>
      <charset val="2"/>
    </font>
    <font>
      <sz val="10"/>
      <name val="Arial"/>
      <family val="2"/>
    </font>
    <font>
      <b/>
      <sz val="10"/>
      <name val="Arial"/>
      <family val="2"/>
    </font>
    <font>
      <b/>
      <sz val="11"/>
      <color rgb="FF9C65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b/>
      <sz val="11"/>
      <color rgb="FF9C0006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indexed="22"/>
        <bgColor indexed="64"/>
      </patternFill>
    </fill>
  </fills>
  <borders count="5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rgb="FF3F3F3F"/>
      </left>
      <right/>
      <top style="double">
        <color rgb="FF3F3F3F"/>
      </top>
      <bottom style="double">
        <color rgb="FF3F3F3F"/>
      </bottom>
      <diagonal/>
    </border>
    <border>
      <left/>
      <right/>
      <top style="double">
        <color rgb="FF3F3F3F"/>
      </top>
      <bottom style="double">
        <color rgb="FF3F3F3F"/>
      </bottom>
      <diagonal/>
    </border>
    <border>
      <left/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1" applyNumberFormat="0" applyAlignment="0" applyProtection="0"/>
    <xf numFmtId="0" fontId="6" fillId="6" borderId="1" applyNumberFormat="0" applyAlignment="0" applyProtection="0"/>
    <xf numFmtId="0" fontId="7" fillId="7" borderId="2" applyNumberFormat="0" applyAlignment="0" applyProtection="0"/>
    <xf numFmtId="0" fontId="11" fillId="0" borderId="0"/>
  </cellStyleXfs>
  <cellXfs count="275">
    <xf numFmtId="0" fontId="0" fillId="0" borderId="0" xfId="0"/>
    <xf numFmtId="9" fontId="0" fillId="0" borderId="0" xfId="1" applyFont="1"/>
    <xf numFmtId="0" fontId="9" fillId="0" borderId="0" xfId="0" applyFont="1"/>
    <xf numFmtId="2" fontId="0" fillId="0" borderId="0" xfId="0" applyNumberFormat="1"/>
    <xf numFmtId="1" fontId="0" fillId="0" borderId="0" xfId="0" applyNumberFormat="1"/>
    <xf numFmtId="0" fontId="9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  <xf numFmtId="1" fontId="9" fillId="0" borderId="0" xfId="0" applyNumberFormat="1" applyFont="1"/>
    <xf numFmtId="2" fontId="9" fillId="0" borderId="0" xfId="0" applyNumberFormat="1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11" fontId="0" fillId="0" borderId="0" xfId="0" applyNumberFormat="1"/>
    <xf numFmtId="0" fontId="11" fillId="0" borderId="0" xfId="8"/>
    <xf numFmtId="0" fontId="12" fillId="8" borderId="0" xfId="8" applyFont="1" applyFill="1" applyProtection="1">
      <protection hidden="1"/>
    </xf>
    <xf numFmtId="0" fontId="12" fillId="8" borderId="0" xfId="8" applyFont="1" applyFill="1" applyBorder="1" applyProtection="1">
      <protection hidden="1"/>
    </xf>
    <xf numFmtId="0" fontId="13" fillId="8" borderId="0" xfId="8" applyFont="1" applyFill="1" applyBorder="1" applyProtection="1">
      <protection hidden="1"/>
    </xf>
    <xf numFmtId="1" fontId="13" fillId="8" borderId="0" xfId="8" applyNumberFormat="1" applyFont="1" applyFill="1" applyBorder="1" applyProtection="1">
      <protection hidden="1"/>
    </xf>
    <xf numFmtId="2" fontId="13" fillId="8" borderId="0" xfId="8" applyNumberFormat="1" applyFont="1" applyFill="1" applyBorder="1" applyAlignment="1" applyProtection="1">
      <alignment horizontal="center"/>
      <protection hidden="1"/>
    </xf>
    <xf numFmtId="0" fontId="13" fillId="8" borderId="0" xfId="8" applyFont="1" applyFill="1" applyBorder="1" applyAlignment="1" applyProtection="1">
      <alignment horizontal="right"/>
      <protection hidden="1"/>
    </xf>
    <xf numFmtId="0" fontId="13" fillId="8" borderId="0" xfId="8" applyFont="1" applyFill="1" applyBorder="1" applyAlignment="1" applyProtection="1">
      <alignment horizontal="left"/>
      <protection hidden="1"/>
    </xf>
    <xf numFmtId="0" fontId="13" fillId="8" borderId="0" xfId="8" applyFont="1" applyFill="1" applyBorder="1" applyAlignment="1" applyProtection="1">
      <alignment horizontal="center"/>
      <protection hidden="1"/>
    </xf>
    <xf numFmtId="1" fontId="13" fillId="8" borderId="0" xfId="8" applyNumberFormat="1" applyFont="1" applyFill="1" applyBorder="1" applyAlignment="1" applyProtection="1">
      <alignment horizontal="center"/>
      <protection hidden="1"/>
    </xf>
    <xf numFmtId="164" fontId="14" fillId="8" borderId="0" xfId="8" applyNumberFormat="1" applyFont="1" applyFill="1" applyBorder="1" applyAlignment="1" applyProtection="1">
      <alignment horizontal="center"/>
      <protection hidden="1"/>
    </xf>
    <xf numFmtId="0" fontId="14" fillId="8" borderId="0" xfId="8" applyFont="1" applyFill="1" applyBorder="1" applyAlignment="1" applyProtection="1">
      <alignment horizontal="center"/>
      <protection hidden="1"/>
    </xf>
    <xf numFmtId="165" fontId="14" fillId="8" borderId="0" xfId="8" applyNumberFormat="1" applyFont="1" applyFill="1" applyBorder="1" applyAlignment="1" applyProtection="1">
      <alignment horizontal="center"/>
      <protection hidden="1"/>
    </xf>
    <xf numFmtId="164" fontId="12" fillId="8" borderId="0" xfId="8" applyNumberFormat="1" applyFont="1" applyFill="1" applyBorder="1" applyProtection="1">
      <protection hidden="1"/>
    </xf>
    <xf numFmtId="0" fontId="14" fillId="8" borderId="0" xfId="8" applyNumberFormat="1" applyFont="1" applyFill="1" applyBorder="1" applyAlignment="1" applyProtection="1">
      <alignment horizontal="center"/>
      <protection hidden="1"/>
    </xf>
    <xf numFmtId="2" fontId="15" fillId="8" borderId="0" xfId="8" applyNumberFormat="1" applyFont="1" applyFill="1" applyBorder="1" applyAlignment="1" applyProtection="1">
      <alignment horizontal="center"/>
      <protection hidden="1"/>
    </xf>
    <xf numFmtId="1" fontId="14" fillId="8" borderId="0" xfId="8" applyNumberFormat="1" applyFont="1" applyFill="1" applyBorder="1" applyAlignment="1" applyProtection="1">
      <alignment horizontal="center"/>
      <protection hidden="1"/>
    </xf>
    <xf numFmtId="1" fontId="12" fillId="8" borderId="0" xfId="8" applyNumberFormat="1" applyFont="1" applyFill="1" applyBorder="1" applyProtection="1">
      <protection hidden="1"/>
    </xf>
    <xf numFmtId="1" fontId="14" fillId="8" borderId="0" xfId="8" applyNumberFormat="1" applyFont="1" applyFill="1" applyBorder="1" applyProtection="1">
      <protection hidden="1"/>
    </xf>
    <xf numFmtId="0" fontId="14" fillId="8" borderId="0" xfId="8" applyFont="1" applyFill="1" applyBorder="1" applyProtection="1">
      <protection hidden="1"/>
    </xf>
    <xf numFmtId="1" fontId="14" fillId="8" borderId="0" xfId="8" applyNumberFormat="1" applyFont="1" applyFill="1" applyAlignment="1" applyProtection="1">
      <alignment horizontal="center"/>
      <protection hidden="1"/>
    </xf>
    <xf numFmtId="0" fontId="14" fillId="8" borderId="0" xfId="8" applyFont="1" applyFill="1" applyAlignment="1" applyProtection="1">
      <alignment horizontal="center"/>
      <protection hidden="1"/>
    </xf>
    <xf numFmtId="1" fontId="12" fillId="8" borderId="0" xfId="8" applyNumberFormat="1" applyFont="1" applyFill="1" applyAlignment="1" applyProtection="1">
      <alignment horizontal="center"/>
      <protection hidden="1"/>
    </xf>
    <xf numFmtId="49" fontId="14" fillId="8" borderId="0" xfId="8" applyNumberFormat="1" applyFont="1" applyFill="1" applyBorder="1" applyAlignment="1" applyProtection="1">
      <alignment horizontal="center"/>
      <protection hidden="1"/>
    </xf>
    <xf numFmtId="1" fontId="16" fillId="8" borderId="0" xfId="8" applyNumberFormat="1" applyFont="1" applyFill="1" applyBorder="1" applyAlignment="1" applyProtection="1">
      <alignment horizontal="center"/>
      <protection hidden="1"/>
    </xf>
    <xf numFmtId="0" fontId="17" fillId="0" borderId="0" xfId="8" applyFont="1" applyFill="1" applyBorder="1" applyProtection="1">
      <protection hidden="1"/>
    </xf>
    <xf numFmtId="0" fontId="18" fillId="0" borderId="0" xfId="8" applyNumberFormat="1" applyFont="1" applyFill="1" applyBorder="1" applyAlignment="1" applyProtection="1">
      <alignment horizontal="center"/>
      <protection hidden="1"/>
    </xf>
    <xf numFmtId="1" fontId="18" fillId="0" borderId="0" xfId="8" applyNumberFormat="1" applyFont="1" applyFill="1" applyBorder="1" applyAlignment="1" applyProtection="1">
      <alignment horizontal="center"/>
      <protection hidden="1"/>
    </xf>
    <xf numFmtId="0" fontId="18" fillId="0" borderId="0" xfId="8" applyFont="1" applyFill="1" applyBorder="1" applyAlignment="1" applyProtection="1">
      <alignment horizontal="center"/>
      <protection hidden="1"/>
    </xf>
    <xf numFmtId="1" fontId="19" fillId="0" borderId="0" xfId="8" applyNumberFormat="1" applyFont="1" applyFill="1" applyBorder="1" applyAlignment="1" applyProtection="1">
      <alignment horizontal="center"/>
      <protection hidden="1"/>
    </xf>
    <xf numFmtId="0" fontId="17" fillId="0" borderId="0" xfId="8" applyFont="1" applyFill="1"/>
    <xf numFmtId="0" fontId="17" fillId="0" borderId="0" xfId="8" applyFont="1" applyFill="1" applyProtection="1">
      <protection hidden="1"/>
    </xf>
    <xf numFmtId="0" fontId="18" fillId="0" borderId="0" xfId="8" applyNumberFormat="1" applyFont="1" applyFill="1" applyAlignment="1" applyProtection="1">
      <alignment horizontal="center"/>
      <protection hidden="1"/>
    </xf>
    <xf numFmtId="0" fontId="18" fillId="0" borderId="0" xfId="8" applyFont="1" applyFill="1" applyAlignment="1" applyProtection="1">
      <alignment horizontal="center"/>
      <protection hidden="1"/>
    </xf>
    <xf numFmtId="0" fontId="17" fillId="0" borderId="0" xfId="8" applyFont="1" applyFill="1" applyBorder="1"/>
    <xf numFmtId="1" fontId="19" fillId="0" borderId="0" xfId="8" applyNumberFormat="1" applyFont="1" applyFill="1" applyBorder="1" applyAlignment="1" applyProtection="1">
      <alignment horizontal="center"/>
    </xf>
    <xf numFmtId="0" fontId="11" fillId="0" borderId="0" xfId="8" applyProtection="1">
      <protection hidden="1"/>
    </xf>
    <xf numFmtId="0" fontId="11" fillId="0" borderId="0" xfId="8" applyFont="1" applyProtection="1">
      <protection hidden="1"/>
    </xf>
    <xf numFmtId="0" fontId="20" fillId="0" borderId="0" xfId="8" applyNumberFormat="1" applyFont="1" applyFill="1" applyAlignment="1" applyProtection="1">
      <alignment horizontal="center"/>
      <protection hidden="1"/>
    </xf>
    <xf numFmtId="0" fontId="20" fillId="0" borderId="0" xfId="8" applyFont="1" applyFill="1" applyAlignment="1" applyProtection="1">
      <alignment horizontal="center"/>
      <protection hidden="1"/>
    </xf>
    <xf numFmtId="1" fontId="20" fillId="0" borderId="3" xfId="8" applyNumberFormat="1" applyFont="1" applyBorder="1" applyAlignment="1" applyProtection="1">
      <alignment horizontal="center"/>
    </xf>
    <xf numFmtId="1" fontId="21" fillId="0" borderId="3" xfId="8" applyNumberFormat="1" applyFont="1" applyBorder="1" applyAlignment="1" applyProtection="1">
      <alignment horizontal="center"/>
    </xf>
    <xf numFmtId="1" fontId="21" fillId="0" borderId="3" xfId="8" applyNumberFormat="1" applyFont="1" applyBorder="1" applyAlignment="1" applyProtection="1">
      <alignment horizontal="right"/>
    </xf>
    <xf numFmtId="0" fontId="22" fillId="0" borderId="0" xfId="8" applyFont="1" applyFill="1" applyAlignment="1" applyProtection="1">
      <alignment horizontal="center"/>
      <protection hidden="1"/>
    </xf>
    <xf numFmtId="0" fontId="23" fillId="0" borderId="0" xfId="8" applyFont="1" applyFill="1" applyProtection="1">
      <protection hidden="1"/>
    </xf>
    <xf numFmtId="1" fontId="22" fillId="0" borderId="0" xfId="8" applyNumberFormat="1" applyFont="1" applyFill="1" applyBorder="1" applyAlignment="1" applyProtection="1">
      <alignment horizontal="center"/>
      <protection hidden="1"/>
    </xf>
    <xf numFmtId="1" fontId="22" fillId="0" borderId="0" xfId="8" applyNumberFormat="1" applyFont="1" applyFill="1" applyAlignment="1" applyProtection="1">
      <alignment horizontal="center"/>
      <protection hidden="1"/>
    </xf>
    <xf numFmtId="1" fontId="23" fillId="0" borderId="0" xfId="8" applyNumberFormat="1" applyFont="1" applyFill="1" applyAlignment="1" applyProtection="1">
      <alignment horizontal="center"/>
      <protection hidden="1"/>
    </xf>
    <xf numFmtId="0" fontId="23" fillId="0" borderId="0" xfId="8" applyFont="1" applyFill="1" applyAlignment="1" applyProtection="1">
      <alignment horizontal="center"/>
      <protection hidden="1"/>
    </xf>
    <xf numFmtId="1" fontId="23" fillId="0" borderId="0" xfId="8" applyNumberFormat="1" applyFont="1" applyFill="1" applyBorder="1" applyAlignment="1" applyProtection="1">
      <alignment horizontal="center"/>
      <protection hidden="1"/>
    </xf>
    <xf numFmtId="0" fontId="11" fillId="0" borderId="0" xfId="8" applyProtection="1"/>
    <xf numFmtId="0" fontId="11" fillId="0" borderId="0" xfId="8" applyFont="1" applyProtection="1"/>
    <xf numFmtId="1" fontId="23" fillId="0" borderId="0" xfId="8" applyNumberFormat="1" applyFont="1" applyFill="1" applyAlignment="1" applyProtection="1">
      <alignment horizontal="center"/>
    </xf>
    <xf numFmtId="0" fontId="23" fillId="0" borderId="0" xfId="8" applyFont="1" applyFill="1" applyAlignment="1" applyProtection="1">
      <alignment horizontal="center"/>
    </xf>
    <xf numFmtId="1" fontId="23" fillId="0" borderId="0" xfId="8" applyNumberFormat="1" applyFont="1" applyFill="1" applyBorder="1" applyAlignment="1" applyProtection="1">
      <alignment horizontal="center"/>
    </xf>
    <xf numFmtId="1" fontId="13" fillId="8" borderId="0" xfId="8" applyNumberFormat="1" applyFont="1" applyFill="1" applyBorder="1" applyAlignment="1" applyProtection="1">
      <alignment horizontal="center"/>
    </xf>
    <xf numFmtId="0" fontId="23" fillId="0" borderId="0" xfId="8" applyFont="1" applyFill="1" applyProtection="1"/>
    <xf numFmtId="0" fontId="24" fillId="0" borderId="0" xfId="8" applyFont="1" applyAlignment="1" applyProtection="1">
      <alignment horizontal="right"/>
    </xf>
    <xf numFmtId="1" fontId="22" fillId="0" borderId="0" xfId="8" applyNumberFormat="1" applyFont="1" applyFill="1" applyAlignment="1" applyProtection="1">
      <alignment horizontal="center"/>
    </xf>
    <xf numFmtId="2" fontId="22" fillId="0" borderId="0" xfId="8" applyNumberFormat="1" applyFont="1" applyBorder="1" applyAlignment="1" applyProtection="1">
      <alignment horizontal="right"/>
    </xf>
    <xf numFmtId="0" fontId="22" fillId="0" borderId="0" xfId="8" applyFont="1" applyBorder="1" applyAlignment="1" applyProtection="1">
      <alignment horizontal="right"/>
    </xf>
    <xf numFmtId="0" fontId="11" fillId="0" borderId="0" xfId="8" applyBorder="1" applyProtection="1"/>
    <xf numFmtId="0" fontId="22" fillId="0" borderId="0" xfId="8" applyFont="1" applyBorder="1" applyProtection="1"/>
    <xf numFmtId="164" fontId="22" fillId="0" borderId="0" xfId="8" applyNumberFormat="1" applyFont="1" applyBorder="1" applyAlignment="1" applyProtection="1">
      <alignment horizontal="right"/>
    </xf>
    <xf numFmtId="1" fontId="25" fillId="0" borderId="4" xfId="8" applyNumberFormat="1" applyFont="1" applyFill="1" applyBorder="1" applyAlignment="1" applyProtection="1">
      <alignment horizontal="center" vertical="center"/>
    </xf>
    <xf numFmtId="1" fontId="25" fillId="0" borderId="5" xfId="8" applyNumberFormat="1" applyFont="1" applyFill="1" applyBorder="1" applyAlignment="1" applyProtection="1">
      <alignment horizontal="center" vertical="center"/>
    </xf>
    <xf numFmtId="1" fontId="25" fillId="0" borderId="6" xfId="8" applyNumberFormat="1" applyFont="1" applyFill="1" applyBorder="1" applyAlignment="1" applyProtection="1">
      <alignment horizontal="center" vertical="center"/>
    </xf>
    <xf numFmtId="0" fontId="26" fillId="0" borderId="0" xfId="8" applyFont="1" applyBorder="1" applyProtection="1"/>
    <xf numFmtId="2" fontId="25" fillId="0" borderId="0" xfId="8" applyNumberFormat="1" applyFont="1" applyFill="1" applyBorder="1" applyAlignment="1" applyProtection="1">
      <alignment horizontal="center"/>
    </xf>
    <xf numFmtId="2" fontId="23" fillId="0" borderId="0" xfId="8" applyNumberFormat="1" applyFont="1" applyFill="1" applyBorder="1" applyAlignment="1" applyProtection="1">
      <alignment horizontal="center"/>
    </xf>
    <xf numFmtId="0" fontId="21" fillId="0" borderId="7" xfId="8" applyFont="1" applyBorder="1" applyAlignment="1" applyProtection="1">
      <alignment horizontal="center"/>
    </xf>
    <xf numFmtId="0" fontId="20" fillId="0" borderId="3" xfId="8" applyFont="1" applyFill="1" applyBorder="1" applyAlignment="1" applyProtection="1">
      <alignment horizontal="center"/>
    </xf>
    <xf numFmtId="0" fontId="21" fillId="0" borderId="8" xfId="8" applyFont="1" applyBorder="1" applyAlignment="1" applyProtection="1">
      <alignment horizontal="right"/>
    </xf>
    <xf numFmtId="0" fontId="27" fillId="0" borderId="0" xfId="8" applyFont="1" applyFill="1" applyBorder="1" applyAlignment="1" applyProtection="1">
      <alignment horizontal="center" vertical="center"/>
    </xf>
    <xf numFmtId="1" fontId="21" fillId="0" borderId="8" xfId="8" applyNumberFormat="1" applyFont="1" applyBorder="1" applyAlignment="1" applyProtection="1">
      <alignment horizontal="right"/>
    </xf>
    <xf numFmtId="1" fontId="25" fillId="0" borderId="0" xfId="8" applyNumberFormat="1" applyFont="1" applyFill="1" applyBorder="1" applyAlignment="1" applyProtection="1">
      <alignment horizontal="center"/>
    </xf>
    <xf numFmtId="0" fontId="26" fillId="0" borderId="0" xfId="8" applyFont="1" applyProtection="1"/>
    <xf numFmtId="0" fontId="25" fillId="0" borderId="0" xfId="8" applyFont="1" applyFill="1" applyProtection="1"/>
    <xf numFmtId="1" fontId="25" fillId="0" borderId="0" xfId="8" applyNumberFormat="1" applyFont="1" applyFill="1" applyAlignment="1" applyProtection="1">
      <alignment horizontal="center"/>
    </xf>
    <xf numFmtId="0" fontId="25" fillId="0" borderId="0" xfId="8" applyFont="1" applyFill="1" applyAlignment="1" applyProtection="1">
      <alignment horizontal="center"/>
    </xf>
    <xf numFmtId="1" fontId="25" fillId="0" borderId="0" xfId="8" applyNumberFormat="1" applyFont="1" applyFill="1" applyBorder="1" applyAlignment="1" applyProtection="1">
      <alignment horizontal="center"/>
    </xf>
    <xf numFmtId="0" fontId="11" fillId="0" borderId="0" xfId="8" applyBorder="1"/>
    <xf numFmtId="0" fontId="11" fillId="0" borderId="0" xfId="8" applyFont="1"/>
    <xf numFmtId="1" fontId="23" fillId="0" borderId="0" xfId="8" applyNumberFormat="1" applyFont="1" applyFill="1" applyAlignment="1">
      <alignment horizontal="center"/>
    </xf>
    <xf numFmtId="0" fontId="23" fillId="0" borderId="0" xfId="8" applyFont="1" applyFill="1" applyAlignment="1">
      <alignment horizontal="center"/>
    </xf>
    <xf numFmtId="1" fontId="23" fillId="0" borderId="0" xfId="8" applyNumberFormat="1" applyFont="1" applyFill="1" applyBorder="1" applyAlignment="1">
      <alignment horizontal="center"/>
    </xf>
    <xf numFmtId="2" fontId="23" fillId="0" borderId="0" xfId="8" applyNumberFormat="1" applyFont="1" applyFill="1" applyBorder="1" applyAlignment="1">
      <alignment horizontal="center"/>
    </xf>
    <xf numFmtId="0" fontId="23" fillId="0" borderId="0" xfId="8" applyFont="1" applyFill="1"/>
    <xf numFmtId="0" fontId="11" fillId="0" borderId="0" xfId="8" applyBorder="1" applyProtection="1">
      <protection locked="0"/>
    </xf>
    <xf numFmtId="0" fontId="26" fillId="0" borderId="0" xfId="8" applyFont="1"/>
    <xf numFmtId="49" fontId="23" fillId="0" borderId="0" xfId="8" applyNumberFormat="1" applyFont="1" applyFill="1" applyBorder="1" applyAlignment="1">
      <alignment horizontal="left"/>
    </xf>
    <xf numFmtId="0" fontId="26" fillId="0" borderId="0" xfId="8" applyFont="1" applyAlignment="1">
      <alignment horizontal="center"/>
    </xf>
    <xf numFmtId="0" fontId="21" fillId="0" borderId="9" xfId="8" applyFont="1" applyBorder="1" applyAlignment="1" applyProtection="1">
      <alignment horizontal="center"/>
    </xf>
    <xf numFmtId="0" fontId="21" fillId="0" borderId="10" xfId="8" applyFont="1" applyBorder="1" applyAlignment="1" applyProtection="1">
      <alignment horizontal="center"/>
    </xf>
    <xf numFmtId="0" fontId="21" fillId="0" borderId="11" xfId="8" applyFont="1" applyBorder="1" applyAlignment="1" applyProtection="1">
      <alignment horizontal="right"/>
    </xf>
    <xf numFmtId="0" fontId="20" fillId="0" borderId="12" xfId="8" applyFont="1" applyBorder="1" applyProtection="1">
      <protection locked="0"/>
    </xf>
    <xf numFmtId="0" fontId="20" fillId="0" borderId="13" xfId="8" applyFont="1" applyBorder="1" applyProtection="1">
      <protection locked="0"/>
    </xf>
    <xf numFmtId="0" fontId="20" fillId="0" borderId="14" xfId="8" applyFont="1" applyBorder="1" applyAlignment="1" applyProtection="1">
      <alignment horizontal="right"/>
    </xf>
    <xf numFmtId="0" fontId="20" fillId="0" borderId="15" xfId="8" applyFont="1" applyBorder="1" applyProtection="1">
      <protection locked="0"/>
    </xf>
    <xf numFmtId="49" fontId="20" fillId="0" borderId="16" xfId="8" applyNumberFormat="1" applyFont="1" applyBorder="1" applyAlignment="1" applyProtection="1">
      <alignment horizontal="left"/>
      <protection locked="0"/>
    </xf>
    <xf numFmtId="49" fontId="20" fillId="0" borderId="17" xfId="8" applyNumberFormat="1" applyFont="1" applyBorder="1" applyAlignment="1" applyProtection="1">
      <alignment horizontal="left"/>
      <protection locked="0"/>
    </xf>
    <xf numFmtId="0" fontId="21" fillId="0" borderId="18" xfId="8" applyFont="1" applyBorder="1" applyAlignment="1" applyProtection="1">
      <alignment horizontal="right"/>
    </xf>
    <xf numFmtId="0" fontId="20" fillId="0" borderId="19" xfId="8" applyFont="1" applyBorder="1" applyProtection="1">
      <protection locked="0"/>
    </xf>
    <xf numFmtId="49" fontId="20" fillId="0" borderId="4" xfId="8" applyNumberFormat="1" applyFont="1" applyBorder="1" applyAlignment="1" applyProtection="1">
      <alignment horizontal="left"/>
      <protection locked="0"/>
    </xf>
    <xf numFmtId="49" fontId="20" fillId="0" borderId="6" xfId="8" applyNumberFormat="1" applyFont="1" applyBorder="1" applyAlignment="1" applyProtection="1">
      <alignment horizontal="left"/>
      <protection locked="0"/>
    </xf>
    <xf numFmtId="0" fontId="21" fillId="0" borderId="20" xfId="8" applyFont="1" applyBorder="1" applyAlignment="1" applyProtection="1">
      <alignment horizontal="right"/>
    </xf>
    <xf numFmtId="0" fontId="21" fillId="0" borderId="0" xfId="8" applyFont="1" applyBorder="1" applyProtection="1">
      <protection locked="0"/>
    </xf>
    <xf numFmtId="2" fontId="20" fillId="0" borderId="21" xfId="8" applyNumberFormat="1" applyFont="1" applyBorder="1" applyProtection="1">
      <protection locked="0"/>
    </xf>
    <xf numFmtId="0" fontId="11" fillId="0" borderId="3" xfId="8" applyBorder="1" applyAlignment="1" applyProtection="1">
      <alignment horizontal="center"/>
      <protection locked="0"/>
    </xf>
    <xf numFmtId="1" fontId="11" fillId="0" borderId="0" xfId="8" applyNumberFormat="1"/>
    <xf numFmtId="165" fontId="11" fillId="0" borderId="0" xfId="8" applyNumberFormat="1"/>
    <xf numFmtId="0" fontId="28" fillId="0" borderId="0" xfId="8" applyFont="1"/>
    <xf numFmtId="0" fontId="11" fillId="0" borderId="0" xfId="8" applyNumberFormat="1" applyBorder="1" applyAlignment="1" applyProtection="1">
      <alignment horizontal="center"/>
      <protection locked="0"/>
    </xf>
    <xf numFmtId="49" fontId="20" fillId="0" borderId="0" xfId="8" applyNumberFormat="1" applyFont="1" applyFill="1" applyBorder="1" applyAlignment="1" applyProtection="1">
      <alignment horizontal="left" vertical="center"/>
    </xf>
    <xf numFmtId="0" fontId="21" fillId="0" borderId="0" xfId="8" applyFont="1" applyAlignment="1" applyProtection="1">
      <alignment horizontal="center" vertical="center"/>
    </xf>
    <xf numFmtId="1" fontId="20" fillId="0" borderId="0" xfId="8" applyNumberFormat="1" applyFont="1" applyFill="1" applyBorder="1" applyAlignment="1" applyProtection="1">
      <alignment horizontal="center"/>
    </xf>
    <xf numFmtId="1" fontId="20" fillId="0" borderId="0" xfId="8" applyNumberFormat="1" applyFont="1" applyFill="1" applyBorder="1" applyAlignment="1" applyProtection="1">
      <alignment horizontal="center" vertical="center"/>
    </xf>
    <xf numFmtId="1" fontId="20" fillId="0" borderId="0" xfId="8" applyNumberFormat="1" applyFont="1" applyFill="1" applyAlignment="1" applyProtection="1">
      <alignment horizontal="left" vertical="center"/>
    </xf>
    <xf numFmtId="1" fontId="20" fillId="0" borderId="0" xfId="8" applyNumberFormat="1" applyFont="1" applyFill="1" applyAlignment="1" applyProtection="1">
      <alignment horizontal="center"/>
    </xf>
    <xf numFmtId="0" fontId="23" fillId="0" borderId="0" xfId="8" applyFont="1" applyProtection="1"/>
    <xf numFmtId="1" fontId="21" fillId="0" borderId="0" xfId="8" applyNumberFormat="1" applyFont="1" applyFill="1" applyAlignment="1" applyProtection="1">
      <alignment horizontal="right"/>
    </xf>
    <xf numFmtId="0" fontId="20" fillId="0" borderId="0" xfId="8" applyFont="1" applyFill="1" applyAlignment="1" applyProtection="1">
      <alignment horizontal="center"/>
    </xf>
    <xf numFmtId="1" fontId="20" fillId="0" borderId="22" xfId="8" applyNumberFormat="1" applyFont="1" applyFill="1" applyBorder="1" applyAlignment="1" applyProtection="1">
      <alignment horizontal="center"/>
    </xf>
    <xf numFmtId="1" fontId="20" fillId="0" borderId="23" xfId="8" applyNumberFormat="1" applyFont="1" applyFill="1" applyBorder="1" applyAlignment="1" applyProtection="1">
      <alignment horizontal="center"/>
    </xf>
    <xf numFmtId="1" fontId="20" fillId="0" borderId="24" xfId="8" applyNumberFormat="1" applyFont="1" applyFill="1" applyBorder="1" applyAlignment="1" applyProtection="1">
      <alignment horizontal="center" vertical="center"/>
    </xf>
    <xf numFmtId="1" fontId="20" fillId="0" borderId="22" xfId="8" applyNumberFormat="1" applyFont="1" applyFill="1" applyBorder="1" applyAlignment="1" applyProtection="1">
      <alignment horizontal="center" vertical="center"/>
    </xf>
    <xf numFmtId="1" fontId="20" fillId="0" borderId="23" xfId="8" applyNumberFormat="1" applyFont="1" applyFill="1" applyBorder="1" applyAlignment="1" applyProtection="1">
      <alignment horizontal="center" vertical="center"/>
    </xf>
    <xf numFmtId="1" fontId="21" fillId="0" borderId="0" xfId="8" applyNumberFormat="1" applyFont="1" applyFill="1" applyBorder="1" applyAlignment="1" applyProtection="1">
      <alignment horizontal="right"/>
    </xf>
    <xf numFmtId="1" fontId="20" fillId="0" borderId="25" xfId="8" applyNumberFormat="1" applyFont="1" applyFill="1" applyBorder="1" applyAlignment="1" applyProtection="1">
      <alignment horizontal="center" vertical="center"/>
    </xf>
    <xf numFmtId="1" fontId="20" fillId="0" borderId="26" xfId="8" applyNumberFormat="1" applyFont="1" applyFill="1" applyBorder="1" applyAlignment="1" applyProtection="1">
      <alignment horizontal="center" vertical="center"/>
    </xf>
    <xf numFmtId="0" fontId="11" fillId="0" borderId="0" xfId="8" applyProtection="1">
      <protection locked="0"/>
    </xf>
    <xf numFmtId="0" fontId="21" fillId="0" borderId="7" xfId="8" applyFont="1" applyBorder="1" applyAlignment="1" applyProtection="1">
      <alignment horizontal="center"/>
      <protection locked="0"/>
    </xf>
    <xf numFmtId="0" fontId="21" fillId="0" borderId="3" xfId="8" applyFont="1" applyBorder="1" applyAlignment="1" applyProtection="1">
      <alignment horizontal="center"/>
      <protection locked="0"/>
    </xf>
    <xf numFmtId="0" fontId="11" fillId="0" borderId="0" xfId="8" applyNumberFormat="1" applyBorder="1" applyProtection="1">
      <protection locked="0"/>
    </xf>
    <xf numFmtId="0" fontId="20" fillId="0" borderId="19" xfId="8" applyNumberFormat="1" applyFont="1" applyBorder="1" applyAlignment="1" applyProtection="1">
      <alignment horizontal="center"/>
      <protection locked="0"/>
    </xf>
    <xf numFmtId="0" fontId="20" fillId="0" borderId="0" xfId="8" applyNumberFormat="1" applyFont="1" applyBorder="1" applyAlignment="1" applyProtection="1">
      <alignment horizontal="center"/>
      <protection locked="0"/>
    </xf>
    <xf numFmtId="0" fontId="20" fillId="0" borderId="21" xfId="8" applyNumberFormat="1" applyFont="1" applyBorder="1" applyAlignment="1" applyProtection="1">
      <alignment horizontal="center"/>
      <protection locked="0"/>
    </xf>
    <xf numFmtId="0" fontId="21" fillId="0" borderId="27" xfId="8" applyFont="1" applyBorder="1" applyAlignment="1" applyProtection="1">
      <alignment horizontal="right"/>
    </xf>
    <xf numFmtId="49" fontId="20" fillId="0" borderId="3" xfId="8" applyNumberFormat="1" applyFont="1" applyBorder="1" applyAlignment="1" applyProtection="1">
      <alignment horizontal="center"/>
      <protection locked="0"/>
    </xf>
    <xf numFmtId="0" fontId="20" fillId="0" borderId="28" xfId="8" applyNumberFormat="1" applyFont="1" applyBorder="1" applyAlignment="1" applyProtection="1">
      <alignment horizontal="center"/>
      <protection locked="0"/>
    </xf>
    <xf numFmtId="0" fontId="20" fillId="0" borderId="29" xfId="8" applyNumberFormat="1" applyFont="1" applyBorder="1" applyAlignment="1" applyProtection="1">
      <alignment horizontal="center"/>
      <protection locked="0"/>
    </xf>
    <xf numFmtId="49" fontId="20" fillId="0" borderId="10" xfId="8" applyNumberFormat="1" applyFont="1" applyBorder="1" applyAlignment="1" applyProtection="1">
      <alignment horizontal="center"/>
      <protection locked="0"/>
    </xf>
    <xf numFmtId="0" fontId="21" fillId="0" borderId="30" xfId="8" applyFont="1" applyBorder="1" applyAlignment="1" applyProtection="1">
      <alignment horizontal="right"/>
    </xf>
    <xf numFmtId="1" fontId="20" fillId="0" borderId="31" xfId="8" applyNumberFormat="1" applyFont="1" applyFill="1" applyBorder="1" applyAlignment="1" applyProtection="1">
      <alignment horizontal="center" vertical="center"/>
    </xf>
    <xf numFmtId="1" fontId="20" fillId="0" borderId="32" xfId="8" applyNumberFormat="1" applyFont="1" applyFill="1" applyBorder="1" applyAlignment="1" applyProtection="1">
      <alignment horizontal="center" vertical="center"/>
    </xf>
    <xf numFmtId="1" fontId="20" fillId="0" borderId="33" xfId="8" applyNumberFormat="1" applyFont="1" applyFill="1" applyBorder="1" applyAlignment="1" applyProtection="1">
      <alignment horizontal="center" vertical="center"/>
    </xf>
    <xf numFmtId="0" fontId="11" fillId="0" borderId="19" xfId="8" applyNumberFormat="1" applyBorder="1" applyAlignment="1" applyProtection="1">
      <alignment horizontal="center"/>
      <protection locked="0"/>
    </xf>
    <xf numFmtId="0" fontId="26" fillId="0" borderId="14" xfId="8" applyFont="1" applyBorder="1" applyAlignment="1" applyProtection="1">
      <alignment horizontal="right"/>
    </xf>
    <xf numFmtId="0" fontId="27" fillId="0" borderId="34" xfId="8" applyFont="1" applyFill="1" applyBorder="1" applyAlignment="1" applyProtection="1">
      <alignment horizontal="center" vertical="center"/>
    </xf>
    <xf numFmtId="0" fontId="27" fillId="0" borderId="26" xfId="8" applyFont="1" applyFill="1" applyBorder="1" applyAlignment="1" applyProtection="1">
      <alignment horizontal="center" vertical="center"/>
    </xf>
    <xf numFmtId="0" fontId="27" fillId="0" borderId="35" xfId="8" applyFont="1" applyFill="1" applyBorder="1" applyAlignment="1" applyProtection="1">
      <alignment horizontal="center" vertical="center"/>
    </xf>
    <xf numFmtId="0" fontId="27" fillId="0" borderId="0" xfId="8" applyFont="1" applyFill="1" applyBorder="1" applyAlignment="1" applyProtection="1">
      <alignment horizontal="center"/>
    </xf>
    <xf numFmtId="0" fontId="27" fillId="0" borderId="25" xfId="8" applyFont="1" applyFill="1" applyBorder="1" applyAlignment="1" applyProtection="1">
      <alignment horizontal="center" vertical="center"/>
    </xf>
    <xf numFmtId="2" fontId="11" fillId="0" borderId="21" xfId="8" applyNumberFormat="1" applyBorder="1" applyAlignment="1" applyProtection="1">
      <alignment horizontal="center"/>
      <protection locked="0"/>
    </xf>
    <xf numFmtId="0" fontId="26" fillId="0" borderId="27" xfId="8" applyFont="1" applyBorder="1" applyAlignment="1" applyProtection="1">
      <alignment horizontal="right"/>
    </xf>
    <xf numFmtId="0" fontId="23" fillId="0" borderId="21" xfId="8" applyFont="1" applyFill="1" applyBorder="1" applyAlignment="1" applyProtection="1">
      <alignment horizontal="center" vertical="center"/>
    </xf>
    <xf numFmtId="0" fontId="23" fillId="0" borderId="33" xfId="8" applyFont="1" applyFill="1" applyBorder="1" applyAlignment="1" applyProtection="1">
      <alignment horizontal="center" vertical="center"/>
    </xf>
    <xf numFmtId="0" fontId="23" fillId="0" borderId="32" xfId="8" applyFont="1" applyFill="1" applyBorder="1" applyAlignment="1" applyProtection="1">
      <alignment horizontal="center" vertical="center"/>
    </xf>
    <xf numFmtId="0" fontId="23" fillId="0" borderId="34" xfId="8" applyFont="1" applyFill="1" applyBorder="1" applyAlignment="1" applyProtection="1">
      <alignment horizontal="center" vertical="center"/>
    </xf>
    <xf numFmtId="0" fontId="23" fillId="0" borderId="0" xfId="8" applyFont="1" applyFill="1" applyBorder="1" applyAlignment="1" applyProtection="1">
      <alignment horizontal="center"/>
    </xf>
    <xf numFmtId="0" fontId="23" fillId="0" borderId="31" xfId="8" applyFont="1" applyFill="1" applyBorder="1" applyAlignment="1" applyProtection="1">
      <alignment horizontal="center" vertical="center"/>
    </xf>
    <xf numFmtId="0" fontId="23" fillId="0" borderId="33" xfId="8" applyFont="1" applyFill="1" applyBorder="1" applyAlignment="1" applyProtection="1">
      <alignment horizontal="center" vertical="center"/>
    </xf>
    <xf numFmtId="0" fontId="23" fillId="0" borderId="32" xfId="8" applyFont="1" applyFill="1" applyBorder="1" applyAlignment="1" applyProtection="1">
      <alignment horizontal="center" vertical="center"/>
    </xf>
    <xf numFmtId="0" fontId="22" fillId="0" borderId="0" xfId="8" applyFont="1"/>
    <xf numFmtId="0" fontId="26" fillId="0" borderId="0" xfId="8" applyNumberFormat="1" applyFont="1" applyBorder="1" applyAlignment="1" applyProtection="1">
      <alignment horizontal="left"/>
      <protection locked="0"/>
    </xf>
    <xf numFmtId="164" fontId="11" fillId="0" borderId="35" xfId="8" applyNumberFormat="1" applyBorder="1" applyAlignment="1" applyProtection="1">
      <alignment horizontal="center"/>
      <protection locked="0"/>
    </xf>
    <xf numFmtId="0" fontId="26" fillId="0" borderId="8" xfId="8" applyFont="1" applyBorder="1" applyAlignment="1" applyProtection="1">
      <alignment horizontal="right"/>
    </xf>
    <xf numFmtId="0" fontId="23" fillId="0" borderId="4" xfId="8" applyFont="1" applyFill="1" applyBorder="1" applyAlignment="1" applyProtection="1">
      <alignment horizontal="center" vertical="center"/>
    </xf>
    <xf numFmtId="0" fontId="23" fillId="0" borderId="5" xfId="8" applyFont="1" applyFill="1" applyBorder="1" applyAlignment="1" applyProtection="1">
      <alignment horizontal="center" vertical="center"/>
    </xf>
    <xf numFmtId="0" fontId="23" fillId="0" borderId="6" xfId="8" applyFont="1" applyFill="1" applyBorder="1" applyAlignment="1" applyProtection="1">
      <alignment horizontal="center" vertical="center"/>
    </xf>
    <xf numFmtId="0" fontId="23" fillId="0" borderId="21" xfId="8" applyFont="1" applyFill="1" applyBorder="1" applyAlignment="1" applyProtection="1">
      <alignment horizontal="center" vertical="center"/>
    </xf>
    <xf numFmtId="0" fontId="22" fillId="0" borderId="4" xfId="8" applyFont="1" applyFill="1" applyBorder="1" applyAlignment="1" applyProtection="1">
      <alignment horizontal="center" vertical="center"/>
    </xf>
    <xf numFmtId="0" fontId="22" fillId="0" borderId="5" xfId="8" applyFont="1" applyFill="1" applyBorder="1" applyAlignment="1" applyProtection="1">
      <alignment horizontal="center" vertical="center"/>
    </xf>
    <xf numFmtId="0" fontId="22" fillId="0" borderId="6" xfId="8" applyFont="1" applyFill="1" applyBorder="1" applyAlignment="1" applyProtection="1">
      <alignment horizontal="center" vertical="center"/>
    </xf>
    <xf numFmtId="0" fontId="27" fillId="0" borderId="0" xfId="8" applyFont="1" applyAlignment="1">
      <alignment horizontal="center"/>
    </xf>
    <xf numFmtId="0" fontId="11" fillId="0" borderId="36" xfId="8" applyNumberFormat="1" applyBorder="1" applyAlignment="1" applyProtection="1">
      <alignment horizontal="center"/>
      <protection locked="0"/>
    </xf>
    <xf numFmtId="0" fontId="11" fillId="0" borderId="5" xfId="8" applyNumberFormat="1" applyBorder="1" applyAlignment="1" applyProtection="1">
      <alignment horizontal="center"/>
      <protection locked="0"/>
    </xf>
    <xf numFmtId="0" fontId="11" fillId="0" borderId="6" xfId="8" applyNumberFormat="1" applyBorder="1" applyAlignment="1" applyProtection="1">
      <alignment horizontal="left"/>
      <protection locked="0"/>
    </xf>
    <xf numFmtId="0" fontId="26" fillId="0" borderId="20" xfId="8" applyFont="1" applyBorder="1" applyAlignment="1" applyProtection="1">
      <alignment horizontal="right"/>
    </xf>
    <xf numFmtId="0" fontId="24" fillId="0" borderId="0" xfId="8" applyNumberFormat="1" applyFont="1" applyBorder="1" applyAlignment="1" applyProtection="1">
      <alignment horizontal="right" vertical="center"/>
    </xf>
    <xf numFmtId="0" fontId="22" fillId="0" borderId="0" xfId="8" applyFont="1" applyFill="1" applyBorder="1" applyAlignment="1" applyProtection="1">
      <alignment horizontal="left" vertical="center"/>
    </xf>
    <xf numFmtId="2" fontId="22" fillId="0" borderId="0" xfId="8" applyNumberFormat="1" applyFont="1" applyFill="1" applyBorder="1" applyAlignment="1" applyProtection="1">
      <alignment horizontal="right" vertical="center"/>
    </xf>
    <xf numFmtId="0" fontId="22" fillId="0" borderId="0" xfId="8" applyFont="1" applyBorder="1" applyAlignment="1" applyProtection="1">
      <alignment vertical="center"/>
    </xf>
    <xf numFmtId="0" fontId="11" fillId="0" borderId="0" xfId="8" applyAlignment="1" applyProtection="1">
      <alignment vertical="center"/>
    </xf>
    <xf numFmtId="49" fontId="22" fillId="0" borderId="0" xfId="8" applyNumberFormat="1" applyFont="1" applyFill="1" applyBorder="1" applyAlignment="1" applyProtection="1">
      <alignment horizontal="left" vertical="center"/>
    </xf>
    <xf numFmtId="49" fontId="22" fillId="0" borderId="0" xfId="8" applyNumberFormat="1" applyFont="1" applyFill="1" applyBorder="1" applyAlignment="1" applyProtection="1">
      <alignment horizontal="right" vertical="center"/>
    </xf>
    <xf numFmtId="0" fontId="22" fillId="0" borderId="0" xfId="8" applyFont="1" applyAlignment="1">
      <alignment horizontal="center"/>
    </xf>
    <xf numFmtId="0" fontId="11" fillId="0" borderId="21" xfId="8" applyNumberFormat="1" applyBorder="1" applyAlignment="1" applyProtection="1">
      <alignment horizontal="center"/>
      <protection locked="0"/>
    </xf>
    <xf numFmtId="0" fontId="22" fillId="0" borderId="0" xfId="8" applyNumberFormat="1" applyFont="1" applyFill="1" applyBorder="1" applyAlignment="1" applyProtection="1">
      <alignment horizontal="right" vertical="center"/>
    </xf>
    <xf numFmtId="0" fontId="22" fillId="0" borderId="0" xfId="8" applyFont="1" applyFill="1" applyBorder="1" applyAlignment="1" applyProtection="1">
      <alignment horizontal="right" vertical="center"/>
    </xf>
    <xf numFmtId="49" fontId="25" fillId="0" borderId="4" xfId="8" applyNumberFormat="1" applyFont="1" applyBorder="1" applyAlignment="1" applyProtection="1">
      <alignment horizontal="center" vertical="center"/>
    </xf>
    <xf numFmtId="49" fontId="25" fillId="0" borderId="5" xfId="8" applyNumberFormat="1" applyFont="1" applyBorder="1" applyAlignment="1" applyProtection="1">
      <alignment horizontal="center" vertical="center"/>
    </xf>
    <xf numFmtId="49" fontId="25" fillId="0" borderId="6" xfId="8" applyNumberFormat="1" applyFont="1" applyBorder="1" applyAlignment="1" applyProtection="1">
      <alignment horizontal="center" vertical="center"/>
    </xf>
    <xf numFmtId="49" fontId="23" fillId="0" borderId="0" xfId="8" applyNumberFormat="1" applyFont="1" applyBorder="1" applyAlignment="1" applyProtection="1">
      <alignment horizontal="left" vertical="center"/>
    </xf>
    <xf numFmtId="0" fontId="11" fillId="0" borderId="0" xfId="8" applyBorder="1" applyAlignment="1" applyProtection="1">
      <alignment vertical="center"/>
    </xf>
    <xf numFmtId="0" fontId="22" fillId="0" borderId="0" xfId="8" applyNumberFormat="1" applyFont="1" applyFill="1" applyBorder="1" applyAlignment="1" applyProtection="1">
      <alignment horizontal="left" vertical="center"/>
      <protection locked="0"/>
    </xf>
    <xf numFmtId="0" fontId="11" fillId="0" borderId="28" xfId="8" applyBorder="1" applyProtection="1">
      <protection locked="0"/>
    </xf>
    <xf numFmtId="0" fontId="11" fillId="0" borderId="29" xfId="8" applyBorder="1" applyProtection="1">
      <protection locked="0"/>
    </xf>
    <xf numFmtId="0" fontId="29" fillId="0" borderId="37" xfId="8" applyFont="1" applyBorder="1" applyAlignment="1" applyProtection="1">
      <alignment horizontal="left"/>
    </xf>
    <xf numFmtId="0" fontId="7" fillId="7" borderId="38" xfId="7" applyBorder="1" applyAlignment="1">
      <alignment horizontal="center" vertical="center" wrapText="1"/>
    </xf>
    <xf numFmtId="0" fontId="7" fillId="7" borderId="2" xfId="7" applyAlignment="1">
      <alignment horizontal="center" vertical="center" wrapText="1"/>
    </xf>
    <xf numFmtId="0" fontId="0" fillId="0" borderId="3" xfId="0" applyBorder="1"/>
    <xf numFmtId="0" fontId="0" fillId="0" borderId="3" xfId="0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43" xfId="0" applyFont="1" applyBorder="1" applyAlignment="1">
      <alignment horizontal="center" vertical="center"/>
    </xf>
    <xf numFmtId="0" fontId="9" fillId="0" borderId="44" xfId="0" applyFont="1" applyBorder="1" applyAlignment="1">
      <alignment horizontal="center" vertical="center"/>
    </xf>
    <xf numFmtId="0" fontId="30" fillId="4" borderId="45" xfId="4" applyFont="1" applyBorder="1" applyAlignment="1">
      <alignment horizontal="center" vertical="center"/>
    </xf>
    <xf numFmtId="0" fontId="4" fillId="4" borderId="46" xfId="4" applyBorder="1" applyAlignment="1">
      <alignment horizontal="center" vertical="center"/>
    </xf>
    <xf numFmtId="0" fontId="4" fillId="4" borderId="47" xfId="4" applyBorder="1" applyAlignment="1">
      <alignment horizontal="center" vertical="center"/>
    </xf>
    <xf numFmtId="2" fontId="4" fillId="4" borderId="30" xfId="4" applyNumberFormat="1" applyBorder="1" applyAlignment="1">
      <alignment horizontal="center" vertical="center"/>
    </xf>
    <xf numFmtId="2" fontId="4" fillId="4" borderId="35" xfId="4" applyNumberFormat="1" applyBorder="1" applyAlignment="1">
      <alignment horizontal="center" vertical="center"/>
    </xf>
    <xf numFmtId="2" fontId="4" fillId="4" borderId="48" xfId="4" applyNumberForma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31" fillId="2" borderId="20" xfId="2" applyFont="1" applyBorder="1" applyAlignment="1">
      <alignment horizontal="center" vertical="center"/>
    </xf>
    <xf numFmtId="0" fontId="2" fillId="2" borderId="49" xfId="2" applyBorder="1" applyAlignment="1">
      <alignment horizontal="center" vertical="center"/>
    </xf>
    <xf numFmtId="0" fontId="2" fillId="2" borderId="36" xfId="2" applyBorder="1" applyAlignment="1">
      <alignment horizontal="center" vertical="center"/>
    </xf>
    <xf numFmtId="2" fontId="2" fillId="2" borderId="8" xfId="2" applyNumberFormat="1" applyBorder="1" applyAlignment="1">
      <alignment horizontal="center" vertical="center"/>
    </xf>
    <xf numFmtId="2" fontId="2" fillId="2" borderId="3" xfId="2" applyNumberFormat="1" applyBorder="1" applyAlignment="1">
      <alignment horizontal="center" vertical="center"/>
    </xf>
    <xf numFmtId="2" fontId="2" fillId="2" borderId="7" xfId="2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2" fillId="3" borderId="20" xfId="3" applyFont="1" applyBorder="1" applyAlignment="1">
      <alignment horizontal="center" vertical="center"/>
    </xf>
    <xf numFmtId="0" fontId="3" fillId="3" borderId="49" xfId="3" applyBorder="1" applyAlignment="1">
      <alignment horizontal="center" vertical="center"/>
    </xf>
    <xf numFmtId="0" fontId="3" fillId="3" borderId="36" xfId="3" applyBorder="1" applyAlignment="1">
      <alignment horizontal="center" vertical="center"/>
    </xf>
    <xf numFmtId="2" fontId="3" fillId="3" borderId="8" xfId="3" applyNumberFormat="1" applyBorder="1" applyAlignment="1">
      <alignment horizontal="center" vertical="center"/>
    </xf>
    <xf numFmtId="2" fontId="3" fillId="3" borderId="3" xfId="3" applyNumberFormat="1" applyBorder="1" applyAlignment="1">
      <alignment horizontal="center" vertical="center"/>
    </xf>
    <xf numFmtId="2" fontId="3" fillId="3" borderId="7" xfId="3" applyNumberFormat="1" applyBorder="1" applyAlignment="1">
      <alignment horizontal="center" vertical="center"/>
    </xf>
    <xf numFmtId="0" fontId="30" fillId="4" borderId="20" xfId="4" applyFont="1" applyBorder="1" applyAlignment="1">
      <alignment horizontal="center" vertical="center"/>
    </xf>
    <xf numFmtId="0" fontId="4" fillId="4" borderId="49" xfId="4" applyBorder="1" applyAlignment="1">
      <alignment horizontal="center" vertical="center"/>
    </xf>
    <xf numFmtId="0" fontId="4" fillId="4" borderId="36" xfId="4" applyBorder="1" applyAlignment="1">
      <alignment horizontal="center" vertical="center"/>
    </xf>
    <xf numFmtId="2" fontId="4" fillId="4" borderId="8" xfId="4" applyNumberFormat="1" applyBorder="1" applyAlignment="1">
      <alignment horizontal="center" vertical="center"/>
    </xf>
    <xf numFmtId="2" fontId="4" fillId="4" borderId="3" xfId="4" applyNumberFormat="1" applyBorder="1" applyAlignment="1">
      <alignment horizontal="center" vertical="center"/>
    </xf>
    <xf numFmtId="2" fontId="4" fillId="4" borderId="7" xfId="4" applyNumberFormat="1" applyBorder="1" applyAlignment="1">
      <alignment horizontal="center" vertical="center"/>
    </xf>
    <xf numFmtId="0" fontId="30" fillId="4" borderId="18" xfId="4" applyFont="1" applyBorder="1" applyAlignment="1">
      <alignment horizontal="center" vertical="center"/>
    </xf>
    <xf numFmtId="0" fontId="4" fillId="4" borderId="50" xfId="4" applyBorder="1" applyAlignment="1">
      <alignment horizontal="center" vertical="center"/>
    </xf>
    <xf numFmtId="0" fontId="4" fillId="4" borderId="51" xfId="4" applyBorder="1" applyAlignment="1">
      <alignment horizontal="center" vertical="center"/>
    </xf>
    <xf numFmtId="2" fontId="4" fillId="4" borderId="42" xfId="4" applyNumberFormat="1" applyBorder="1" applyAlignment="1">
      <alignment horizontal="center" vertical="center"/>
    </xf>
    <xf numFmtId="2" fontId="4" fillId="4" borderId="43" xfId="4" applyNumberFormat="1" applyBorder="1" applyAlignment="1">
      <alignment horizontal="center" vertical="center"/>
    </xf>
    <xf numFmtId="2" fontId="4" fillId="4" borderId="44" xfId="4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7" fillId="7" borderId="52" xfId="7" applyBorder="1" applyAlignment="1">
      <alignment horizontal="center" vertical="center" wrapText="1"/>
    </xf>
    <xf numFmtId="0" fontId="7" fillId="7" borderId="53" xfId="7" applyBorder="1" applyAlignment="1">
      <alignment horizontal="center" vertical="center" wrapText="1"/>
    </xf>
    <xf numFmtId="0" fontId="7" fillId="7" borderId="54" xfId="7" applyBorder="1" applyAlignment="1">
      <alignment horizontal="center" vertical="center" wrapText="1"/>
    </xf>
    <xf numFmtId="0" fontId="7" fillId="7" borderId="2" xfId="7" applyAlignment="1">
      <alignment horizontal="center" vertical="center"/>
    </xf>
    <xf numFmtId="0" fontId="5" fillId="5" borderId="1" xfId="5" applyAlignment="1">
      <alignment horizontal="center" vertical="center"/>
    </xf>
    <xf numFmtId="2" fontId="6" fillId="6" borderId="1" xfId="6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</cellXfs>
  <cellStyles count="9">
    <cellStyle name="Bad" xfId="3" builtinId="27"/>
    <cellStyle name="Calculation" xfId="6" builtinId="22"/>
    <cellStyle name="Check Cell" xfId="7" builtinId="23"/>
    <cellStyle name="Good" xfId="2" builtinId="26"/>
    <cellStyle name="Input" xfId="5" builtinId="20"/>
    <cellStyle name="Neutral" xfId="4" builtinId="28"/>
    <cellStyle name="Normal" xfId="0" builtinId="0"/>
    <cellStyle name="Normal 2" xfId="8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285746430701035"/>
          <c:y val="9.0047601746708728E-2"/>
          <c:w val="0.64977104733188573"/>
          <c:h val="0.66824799190978579"/>
        </c:manualLayout>
      </c:layout>
      <c:radarChart>
        <c:radarStyle val="marker"/>
        <c:varyColors val="0"/>
        <c:ser>
          <c:idx val="0"/>
          <c:order val="0"/>
          <c:tx>
            <c:strRef>
              <c:f>centreholdrill2!$Y$193</c:f>
              <c:strCache>
                <c:ptCount val="1"/>
                <c:pt idx="0">
                  <c:v>max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centreholdrill2!$Y$194:$Y$313</c:f>
              <c:numCache>
                <c:formatCode>General</c:formatCode>
                <c:ptCount val="1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100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7D-44FD-A8A3-3A178B5BC777}"/>
            </c:ext>
          </c:extLst>
        </c:ser>
        <c:ser>
          <c:idx val="1"/>
          <c:order val="1"/>
          <c:tx>
            <c:strRef>
              <c:f>centreholdrill2!$Z$193</c:f>
              <c:strCache>
                <c:ptCount val="1"/>
                <c:pt idx="0">
                  <c:v>min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ysDash"/>
            </a:ln>
          </c:spPr>
          <c:marker>
            <c:symbol val="circle"/>
            <c:size val="6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centreholdrill2!$Z$194:$Z$313</c:f>
              <c:numCache>
                <c:formatCode>General</c:formatCode>
                <c:ptCount val="1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100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7D-44FD-A8A3-3A178B5BC777}"/>
            </c:ext>
          </c:extLst>
        </c:ser>
        <c:ser>
          <c:idx val="2"/>
          <c:order val="2"/>
          <c:tx>
            <c:v/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centreholdrill2!$AA$194:$AA$313</c:f>
              <c:numCache>
                <c:formatCode>General</c:formatCode>
                <c:ptCount val="1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47D-44FD-A8A3-3A178B5BC777}"/>
            </c:ext>
          </c:extLst>
        </c:ser>
        <c:ser>
          <c:idx val="3"/>
          <c:order val="3"/>
          <c:tx>
            <c:v/>
          </c:tx>
          <c:spPr>
            <a:ln w="25400">
              <a:solidFill>
                <a:srgbClr val="000000"/>
              </a:solidFill>
              <a:prstDash val="sysDash"/>
            </a:ln>
          </c:spPr>
          <c:marker>
            <c:symbol val="circle"/>
            <c:size val="6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centreholdrill2!$AB$194:$AB$313</c:f>
              <c:numCache>
                <c:formatCode>General</c:formatCode>
                <c:ptCount val="1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47D-44FD-A8A3-3A178B5BC7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264544"/>
        <c:axId val="1"/>
      </c:radarChart>
      <c:catAx>
        <c:axId val="560264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one"/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00"/>
        </c:scaling>
        <c:delete val="1"/>
        <c:axPos val="l"/>
        <c:numFmt formatCode="General" sourceLinked="1"/>
        <c:majorTickMark val="out"/>
        <c:minorTickMark val="none"/>
        <c:tickLblPos val="nextTo"/>
        <c:crossAx val="560264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GB" b="0"/>
              <a:t>No Ablative Coating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4580322749886099"/>
          <c:y val="0.19444444444444445"/>
          <c:w val="0.79830774278215222"/>
          <c:h val="0.68423592884222806"/>
        </c:manualLayout>
      </c:layout>
      <c:scatterChart>
        <c:scatterStyle val="smoothMarker"/>
        <c:varyColors val="0"/>
        <c:ser>
          <c:idx val="2"/>
          <c:order val="0"/>
          <c:tx>
            <c:strRef>
              <c:f>centreholedrill!$S$10</c:f>
              <c:strCache>
                <c:ptCount val="1"/>
                <c:pt idx="0">
                  <c:v>NAB_Hole 1_s1</c:v>
                </c:pt>
              </c:strCache>
            </c:strRef>
          </c:tx>
          <c:xVal>
            <c:numRef>
              <c:f>centreholedrill!$P$15:$P$32</c:f>
              <c:numCache>
                <c:formatCode>General</c:formatCode>
                <c:ptCount val="18"/>
                <c:pt idx="0">
                  <c:v>40</c:v>
                </c:pt>
                <c:pt idx="1">
                  <c:v>56</c:v>
                </c:pt>
                <c:pt idx="2">
                  <c:v>72</c:v>
                </c:pt>
                <c:pt idx="3">
                  <c:v>88</c:v>
                </c:pt>
                <c:pt idx="4">
                  <c:v>112</c:v>
                </c:pt>
                <c:pt idx="5">
                  <c:v>144</c:v>
                </c:pt>
                <c:pt idx="6">
                  <c:v>176</c:v>
                </c:pt>
                <c:pt idx="7">
                  <c:v>208</c:v>
                </c:pt>
                <c:pt idx="8">
                  <c:v>240</c:v>
                </c:pt>
                <c:pt idx="9">
                  <c:v>288</c:v>
                </c:pt>
                <c:pt idx="10">
                  <c:v>352</c:v>
                </c:pt>
                <c:pt idx="11">
                  <c:v>448</c:v>
                </c:pt>
                <c:pt idx="12">
                  <c:v>512</c:v>
                </c:pt>
                <c:pt idx="13">
                  <c:v>576</c:v>
                </c:pt>
                <c:pt idx="14">
                  <c:v>640</c:v>
                </c:pt>
                <c:pt idx="15">
                  <c:v>768</c:v>
                </c:pt>
                <c:pt idx="16">
                  <c:v>896</c:v>
                </c:pt>
                <c:pt idx="17">
                  <c:v>1024</c:v>
                </c:pt>
              </c:numCache>
            </c:numRef>
          </c:xVal>
          <c:yVal>
            <c:numRef>
              <c:f>centreholedrill!$S$15:$S$32</c:f>
              <c:numCache>
                <c:formatCode>General</c:formatCode>
                <c:ptCount val="18"/>
                <c:pt idx="0">
                  <c:v>-411.30121322521876</c:v>
                </c:pt>
                <c:pt idx="1">
                  <c:v>-405.98551843645185</c:v>
                </c:pt>
                <c:pt idx="2">
                  <c:v>-392.2126432547779</c:v>
                </c:pt>
                <c:pt idx="3">
                  <c:v>-388.80748031454812</c:v>
                </c:pt>
                <c:pt idx="4">
                  <c:v>-381.07671682773167</c:v>
                </c:pt>
                <c:pt idx="5">
                  <c:v>-351.97560651975596</c:v>
                </c:pt>
                <c:pt idx="6">
                  <c:v>-333.01086820867192</c:v>
                </c:pt>
                <c:pt idx="7">
                  <c:v>-321.85612489025704</c:v>
                </c:pt>
                <c:pt idx="8">
                  <c:v>-314.94952113151118</c:v>
                </c:pt>
                <c:pt idx="9">
                  <c:v>-290.58819170413852</c:v>
                </c:pt>
                <c:pt idx="10">
                  <c:v>-256.40594950652923</c:v>
                </c:pt>
                <c:pt idx="11">
                  <c:v>-213.46314470119884</c:v>
                </c:pt>
                <c:pt idx="12">
                  <c:v>-172.49742516715406</c:v>
                </c:pt>
                <c:pt idx="13">
                  <c:v>-152.01456540013166</c:v>
                </c:pt>
                <c:pt idx="14">
                  <c:v>-131.53170563310928</c:v>
                </c:pt>
                <c:pt idx="15">
                  <c:v>-100.18731458118241</c:v>
                </c:pt>
                <c:pt idx="16">
                  <c:v>-84.515119055218975</c:v>
                </c:pt>
                <c:pt idx="17">
                  <c:v>-68.842923529255543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52C-4E3D-AD50-8E81213DFF3F}"/>
            </c:ext>
          </c:extLst>
        </c:ser>
        <c:ser>
          <c:idx val="3"/>
          <c:order val="1"/>
          <c:tx>
            <c:strRef>
              <c:f>centreholedrill!$T$10</c:f>
              <c:strCache>
                <c:ptCount val="1"/>
                <c:pt idx="0">
                  <c:v>NAB_Hole 1_s3</c:v>
                </c:pt>
              </c:strCache>
            </c:strRef>
          </c:tx>
          <c:xVal>
            <c:numRef>
              <c:f>centreholedrill!$P$15:$P$32</c:f>
              <c:numCache>
                <c:formatCode>General</c:formatCode>
                <c:ptCount val="18"/>
                <c:pt idx="0">
                  <c:v>40</c:v>
                </c:pt>
                <c:pt idx="1">
                  <c:v>56</c:v>
                </c:pt>
                <c:pt idx="2">
                  <c:v>72</c:v>
                </c:pt>
                <c:pt idx="3">
                  <c:v>88</c:v>
                </c:pt>
                <c:pt idx="4">
                  <c:v>112</c:v>
                </c:pt>
                <c:pt idx="5">
                  <c:v>144</c:v>
                </c:pt>
                <c:pt idx="6">
                  <c:v>176</c:v>
                </c:pt>
                <c:pt idx="7">
                  <c:v>208</c:v>
                </c:pt>
                <c:pt idx="8">
                  <c:v>240</c:v>
                </c:pt>
                <c:pt idx="9">
                  <c:v>288</c:v>
                </c:pt>
                <c:pt idx="10">
                  <c:v>352</c:v>
                </c:pt>
                <c:pt idx="11">
                  <c:v>448</c:v>
                </c:pt>
                <c:pt idx="12">
                  <c:v>512</c:v>
                </c:pt>
                <c:pt idx="13">
                  <c:v>576</c:v>
                </c:pt>
                <c:pt idx="14">
                  <c:v>640</c:v>
                </c:pt>
                <c:pt idx="15">
                  <c:v>768</c:v>
                </c:pt>
                <c:pt idx="16">
                  <c:v>896</c:v>
                </c:pt>
                <c:pt idx="17">
                  <c:v>1024</c:v>
                </c:pt>
              </c:numCache>
            </c:numRef>
          </c:xVal>
          <c:yVal>
            <c:numRef>
              <c:f>centreholedrill!$T$15:$T$32</c:f>
              <c:numCache>
                <c:formatCode>General</c:formatCode>
                <c:ptCount val="18"/>
                <c:pt idx="0">
                  <c:v>-358.79797392093081</c:v>
                </c:pt>
                <c:pt idx="1">
                  <c:v>-350.85105404914208</c:v>
                </c:pt>
                <c:pt idx="2">
                  <c:v>-345.14651174295392</c:v>
                </c:pt>
                <c:pt idx="3">
                  <c:v>-336.28561908710185</c:v>
                </c:pt>
                <c:pt idx="4">
                  <c:v>-328.60101406701796</c:v>
                </c:pt>
                <c:pt idx="5">
                  <c:v>-320.52427009902965</c:v>
                </c:pt>
                <c:pt idx="6">
                  <c:v>-311.74771097988173</c:v>
                </c:pt>
                <c:pt idx="7">
                  <c:v>-293.04797290985704</c:v>
                </c:pt>
                <c:pt idx="8">
                  <c:v>-281.74291618128638</c:v>
                </c:pt>
                <c:pt idx="9">
                  <c:v>-264.59239751817819</c:v>
                </c:pt>
                <c:pt idx="10">
                  <c:v>-242.50891346184224</c:v>
                </c:pt>
                <c:pt idx="11">
                  <c:v>-209.08233302176896</c:v>
                </c:pt>
                <c:pt idx="12">
                  <c:v>-175.04630817681851</c:v>
                </c:pt>
                <c:pt idx="13">
                  <c:v>-158.0282957543433</c:v>
                </c:pt>
                <c:pt idx="14">
                  <c:v>-141.01028333186812</c:v>
                </c:pt>
                <c:pt idx="15">
                  <c:v>-108.21698431794825</c:v>
                </c:pt>
                <c:pt idx="16">
                  <c:v>-91.8203348109883</c:v>
                </c:pt>
                <c:pt idx="17">
                  <c:v>-75.423685304028382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52C-4E3D-AD50-8E81213DFF3F}"/>
            </c:ext>
          </c:extLst>
        </c:ser>
        <c:ser>
          <c:idx val="0"/>
          <c:order val="2"/>
          <c:tx>
            <c:strRef>
              <c:f>centreholedrill!$Z$10</c:f>
              <c:strCache>
                <c:ptCount val="1"/>
                <c:pt idx="0">
                  <c:v>NAB_Hole 2_s1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centreholedrill!$W$13:$W$32</c:f>
              <c:numCache>
                <c:formatCode>General</c:formatCode>
                <c:ptCount val="20"/>
                <c:pt idx="0">
                  <c:v>8</c:v>
                </c:pt>
                <c:pt idx="1">
                  <c:v>24</c:v>
                </c:pt>
                <c:pt idx="2">
                  <c:v>40</c:v>
                </c:pt>
                <c:pt idx="3">
                  <c:v>56</c:v>
                </c:pt>
                <c:pt idx="4">
                  <c:v>72</c:v>
                </c:pt>
                <c:pt idx="5">
                  <c:v>88</c:v>
                </c:pt>
                <c:pt idx="6">
                  <c:v>112</c:v>
                </c:pt>
                <c:pt idx="7">
                  <c:v>144</c:v>
                </c:pt>
                <c:pt idx="8">
                  <c:v>176</c:v>
                </c:pt>
                <c:pt idx="9">
                  <c:v>208</c:v>
                </c:pt>
                <c:pt idx="10">
                  <c:v>240</c:v>
                </c:pt>
                <c:pt idx="11">
                  <c:v>288</c:v>
                </c:pt>
                <c:pt idx="12">
                  <c:v>352</c:v>
                </c:pt>
                <c:pt idx="13">
                  <c:v>448</c:v>
                </c:pt>
                <c:pt idx="14">
                  <c:v>512</c:v>
                </c:pt>
                <c:pt idx="15">
                  <c:v>576</c:v>
                </c:pt>
                <c:pt idx="16">
                  <c:v>640</c:v>
                </c:pt>
                <c:pt idx="17">
                  <c:v>768</c:v>
                </c:pt>
                <c:pt idx="18">
                  <c:v>896</c:v>
                </c:pt>
                <c:pt idx="19">
                  <c:v>1024</c:v>
                </c:pt>
              </c:numCache>
            </c:numRef>
          </c:xVal>
          <c:yVal>
            <c:numRef>
              <c:f>centreholedrill!$Z$13:$Z$32</c:f>
              <c:numCache>
                <c:formatCode>General</c:formatCode>
                <c:ptCount val="20"/>
                <c:pt idx="0">
                  <c:v>-128.89472922163452</c:v>
                </c:pt>
                <c:pt idx="1">
                  <c:v>-243.02474033622781</c:v>
                </c:pt>
                <c:pt idx="2">
                  <c:v>-340.1518318187413</c:v>
                </c:pt>
                <c:pt idx="3">
                  <c:v>-377.86843726856773</c:v>
                </c:pt>
                <c:pt idx="4">
                  <c:v>-372.27110213633642</c:v>
                </c:pt>
                <c:pt idx="5">
                  <c:v>-364.40842118933699</c:v>
                </c:pt>
                <c:pt idx="6">
                  <c:v>-373.75898064743353</c:v>
                </c:pt>
                <c:pt idx="7">
                  <c:v>-355.55926327957707</c:v>
                </c:pt>
                <c:pt idx="8">
                  <c:v>-342.72126106516947</c:v>
                </c:pt>
                <c:pt idx="9">
                  <c:v>-332.13295148552083</c:v>
                </c:pt>
                <c:pt idx="10">
                  <c:v>-321.44500318332462</c:v>
                </c:pt>
                <c:pt idx="11">
                  <c:v>-305.1465447992166</c:v>
                </c:pt>
                <c:pt idx="12">
                  <c:v>-275.13837724010955</c:v>
                </c:pt>
                <c:pt idx="13">
                  <c:v>-230.9903083941135</c:v>
                </c:pt>
                <c:pt idx="14">
                  <c:v>-194.43049955633711</c:v>
                </c:pt>
                <c:pt idx="15">
                  <c:v>-176.1505951374489</c:v>
                </c:pt>
                <c:pt idx="16">
                  <c:v>-157.8706907185607</c:v>
                </c:pt>
                <c:pt idx="17">
                  <c:v>-121.18201494941702</c:v>
                </c:pt>
                <c:pt idx="18">
                  <c:v>-102.8376770648452</c:v>
                </c:pt>
                <c:pt idx="19">
                  <c:v>-84.493339180273367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52C-4E3D-AD50-8E81213DFF3F}"/>
            </c:ext>
          </c:extLst>
        </c:ser>
        <c:ser>
          <c:idx val="1"/>
          <c:order val="3"/>
          <c:tx>
            <c:strRef>
              <c:f>centreholedrill!$AA$10</c:f>
              <c:strCache>
                <c:ptCount val="1"/>
                <c:pt idx="0">
                  <c:v>NAB_Hole 2_s3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centreholedrill!$W$13:$W$32</c:f>
              <c:numCache>
                <c:formatCode>General</c:formatCode>
                <c:ptCount val="20"/>
                <c:pt idx="0">
                  <c:v>8</c:v>
                </c:pt>
                <c:pt idx="1">
                  <c:v>24</c:v>
                </c:pt>
                <c:pt idx="2">
                  <c:v>40</c:v>
                </c:pt>
                <c:pt idx="3">
                  <c:v>56</c:v>
                </c:pt>
                <c:pt idx="4">
                  <c:v>72</c:v>
                </c:pt>
                <c:pt idx="5">
                  <c:v>88</c:v>
                </c:pt>
                <c:pt idx="6">
                  <c:v>112</c:v>
                </c:pt>
                <c:pt idx="7">
                  <c:v>144</c:v>
                </c:pt>
                <c:pt idx="8">
                  <c:v>176</c:v>
                </c:pt>
                <c:pt idx="9">
                  <c:v>208</c:v>
                </c:pt>
                <c:pt idx="10">
                  <c:v>240</c:v>
                </c:pt>
                <c:pt idx="11">
                  <c:v>288</c:v>
                </c:pt>
                <c:pt idx="12">
                  <c:v>352</c:v>
                </c:pt>
                <c:pt idx="13">
                  <c:v>448</c:v>
                </c:pt>
                <c:pt idx="14">
                  <c:v>512</c:v>
                </c:pt>
                <c:pt idx="15">
                  <c:v>576</c:v>
                </c:pt>
                <c:pt idx="16">
                  <c:v>640</c:v>
                </c:pt>
                <c:pt idx="17">
                  <c:v>768</c:v>
                </c:pt>
                <c:pt idx="18">
                  <c:v>896</c:v>
                </c:pt>
                <c:pt idx="19">
                  <c:v>1024</c:v>
                </c:pt>
              </c:numCache>
            </c:numRef>
          </c:xVal>
          <c:yVal>
            <c:numRef>
              <c:f>centreholedrill!$AA$13:$AA$32</c:f>
              <c:numCache>
                <c:formatCode>General</c:formatCode>
                <c:ptCount val="20"/>
                <c:pt idx="0">
                  <c:v>-128.89472922163452</c:v>
                </c:pt>
                <c:pt idx="1">
                  <c:v>-243.02474033622781</c:v>
                </c:pt>
                <c:pt idx="2">
                  <c:v>-328.79499790742358</c:v>
                </c:pt>
                <c:pt idx="3">
                  <c:v>-350.24486821610708</c:v>
                </c:pt>
                <c:pt idx="4">
                  <c:v>-351.6009221552452</c:v>
                </c:pt>
                <c:pt idx="5">
                  <c:v>-353.01620700516878</c:v>
                </c:pt>
                <c:pt idx="6">
                  <c:v>-345.95081497136039</c:v>
                </c:pt>
                <c:pt idx="7">
                  <c:v>-321.29008309265714</c:v>
                </c:pt>
                <c:pt idx="8">
                  <c:v>-309.08690184163419</c:v>
                </c:pt>
                <c:pt idx="9">
                  <c:v>-306.55441220510329</c:v>
                </c:pt>
                <c:pt idx="10">
                  <c:v>-305.49774896874499</c:v>
                </c:pt>
                <c:pt idx="11">
                  <c:v>-288.71753240661292</c:v>
                </c:pt>
                <c:pt idx="12">
                  <c:v>-261.0012949833573</c:v>
                </c:pt>
                <c:pt idx="13">
                  <c:v>-227.19634296966532</c:v>
                </c:pt>
                <c:pt idx="14">
                  <c:v>-194.97812655907381</c:v>
                </c:pt>
                <c:pt idx="15">
                  <c:v>-178.8690183537781</c:v>
                </c:pt>
                <c:pt idx="16">
                  <c:v>-162.75991014848233</c:v>
                </c:pt>
                <c:pt idx="17">
                  <c:v>-124.49501766113498</c:v>
                </c:pt>
                <c:pt idx="18">
                  <c:v>-105.36257141746131</c:v>
                </c:pt>
                <c:pt idx="19">
                  <c:v>-86.230125173787613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52C-4E3D-AD50-8E81213DFF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2680504"/>
        <c:axId val="452680176"/>
      </c:scatterChart>
      <c:valAx>
        <c:axId val="4526805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Depth [µm]</a:t>
                </a:r>
              </a:p>
            </c:rich>
          </c:tx>
          <c:layout>
            <c:manualLayout>
              <c:xMode val="edge"/>
              <c:yMode val="edge"/>
              <c:x val="0.4642276530335176"/>
              <c:y val="0.1101618547681539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680176"/>
        <c:crosses val="autoZero"/>
        <c:crossBetween val="midCat"/>
      </c:valAx>
      <c:valAx>
        <c:axId val="45268017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Residual Stress [MPa]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680504"/>
        <c:crosses val="autoZero"/>
        <c:crossBetween val="midCat"/>
      </c:valAx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GB" b="0"/>
              <a:t>With Ablative Coating Comparison to Results from SA</a:t>
            </a:r>
          </a:p>
        </c:rich>
      </c:tx>
      <c:layout>
        <c:manualLayout>
          <c:xMode val="edge"/>
          <c:yMode val="edge"/>
          <c:x val="0.28146398588836463"/>
          <c:y val="2.31884128535624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793007334901712E-2"/>
          <c:y val="0.13491498618723907"/>
          <c:w val="0.85431809103544221"/>
          <c:h val="0.74376518103799305"/>
        </c:manualLayout>
      </c:layout>
      <c:scatterChart>
        <c:scatterStyle val="smoothMarker"/>
        <c:varyColors val="0"/>
        <c:ser>
          <c:idx val="2"/>
          <c:order val="0"/>
          <c:tx>
            <c:strRef>
              <c:f>centreholedrill!$D$10</c:f>
              <c:strCache>
                <c:ptCount val="1"/>
                <c:pt idx="0">
                  <c:v>AB_Hole 1_s1</c:v>
                </c:pt>
              </c:strCache>
            </c:strRef>
          </c:tx>
          <c:xVal>
            <c:numRef>
              <c:f>centreholedrill!$A$13:$A$32</c:f>
              <c:numCache>
                <c:formatCode>General</c:formatCode>
                <c:ptCount val="20"/>
                <c:pt idx="0">
                  <c:v>8</c:v>
                </c:pt>
                <c:pt idx="1">
                  <c:v>24</c:v>
                </c:pt>
                <c:pt idx="2">
                  <c:v>40</c:v>
                </c:pt>
                <c:pt idx="3">
                  <c:v>56</c:v>
                </c:pt>
                <c:pt idx="4">
                  <c:v>72</c:v>
                </c:pt>
                <c:pt idx="5">
                  <c:v>88</c:v>
                </c:pt>
                <c:pt idx="6">
                  <c:v>112</c:v>
                </c:pt>
                <c:pt idx="7">
                  <c:v>144</c:v>
                </c:pt>
                <c:pt idx="8">
                  <c:v>176</c:v>
                </c:pt>
                <c:pt idx="9">
                  <c:v>208</c:v>
                </c:pt>
                <c:pt idx="10">
                  <c:v>240</c:v>
                </c:pt>
                <c:pt idx="11">
                  <c:v>288</c:v>
                </c:pt>
                <c:pt idx="12">
                  <c:v>352</c:v>
                </c:pt>
                <c:pt idx="13">
                  <c:v>448</c:v>
                </c:pt>
                <c:pt idx="14">
                  <c:v>512</c:v>
                </c:pt>
                <c:pt idx="15">
                  <c:v>576</c:v>
                </c:pt>
                <c:pt idx="16">
                  <c:v>640</c:v>
                </c:pt>
                <c:pt idx="17">
                  <c:v>768</c:v>
                </c:pt>
                <c:pt idx="18">
                  <c:v>896</c:v>
                </c:pt>
                <c:pt idx="19">
                  <c:v>1024</c:v>
                </c:pt>
              </c:numCache>
            </c:numRef>
          </c:xVal>
          <c:yVal>
            <c:numRef>
              <c:f>centreholedrill!$D$13:$D$32</c:f>
              <c:numCache>
                <c:formatCode>General</c:formatCode>
                <c:ptCount val="20"/>
                <c:pt idx="0">
                  <c:v>-65.664922748466552</c:v>
                </c:pt>
                <c:pt idx="1">
                  <c:v>-205.02940414169365</c:v>
                </c:pt>
                <c:pt idx="2">
                  <c:v>-296.34809108424668</c:v>
                </c:pt>
                <c:pt idx="3">
                  <c:v>-307.35425641568798</c:v>
                </c:pt>
                <c:pt idx="4">
                  <c:v>-297.06077483537791</c:v>
                </c:pt>
                <c:pt idx="5">
                  <c:v>-292.946151764587</c:v>
                </c:pt>
                <c:pt idx="6">
                  <c:v>-286.02285221703158</c:v>
                </c:pt>
                <c:pt idx="7">
                  <c:v>-270.11480730717795</c:v>
                </c:pt>
                <c:pt idx="8">
                  <c:v>-261.52695824893766</c:v>
                </c:pt>
                <c:pt idx="9">
                  <c:v>-251.96132781748824</c:v>
                </c:pt>
                <c:pt idx="10">
                  <c:v>-242.84499315844656</c:v>
                </c:pt>
                <c:pt idx="11">
                  <c:v>-227.05946903175644</c:v>
                </c:pt>
                <c:pt idx="12">
                  <c:v>-213.43858851760507</c:v>
                </c:pt>
                <c:pt idx="13">
                  <c:v>-182.7864946437216</c:v>
                </c:pt>
                <c:pt idx="14">
                  <c:v>-153.14565147248558</c:v>
                </c:pt>
                <c:pt idx="15">
                  <c:v>-138.32522988686759</c:v>
                </c:pt>
                <c:pt idx="16">
                  <c:v>-123.50480830124962</c:v>
                </c:pt>
                <c:pt idx="17">
                  <c:v>-95.273401481208253</c:v>
                </c:pt>
                <c:pt idx="18">
                  <c:v>-81.157698071187582</c:v>
                </c:pt>
                <c:pt idx="19">
                  <c:v>-67.041994661166896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0BD-4387-A84E-86F92D015E7B}"/>
            </c:ext>
          </c:extLst>
        </c:ser>
        <c:ser>
          <c:idx val="3"/>
          <c:order val="1"/>
          <c:tx>
            <c:strRef>
              <c:f>centreholedrill!$E$10</c:f>
              <c:strCache>
                <c:ptCount val="1"/>
                <c:pt idx="0">
                  <c:v>AB_Hole 1_s3</c:v>
                </c:pt>
              </c:strCache>
            </c:strRef>
          </c:tx>
          <c:xVal>
            <c:numRef>
              <c:f>centreholedrill!$A$13:$A$32</c:f>
              <c:numCache>
                <c:formatCode>General</c:formatCode>
                <c:ptCount val="20"/>
                <c:pt idx="0">
                  <c:v>8</c:v>
                </c:pt>
                <c:pt idx="1">
                  <c:v>24</c:v>
                </c:pt>
                <c:pt idx="2">
                  <c:v>40</c:v>
                </c:pt>
                <c:pt idx="3">
                  <c:v>56</c:v>
                </c:pt>
                <c:pt idx="4">
                  <c:v>72</c:v>
                </c:pt>
                <c:pt idx="5">
                  <c:v>88</c:v>
                </c:pt>
                <c:pt idx="6">
                  <c:v>112</c:v>
                </c:pt>
                <c:pt idx="7">
                  <c:v>144</c:v>
                </c:pt>
                <c:pt idx="8">
                  <c:v>176</c:v>
                </c:pt>
                <c:pt idx="9">
                  <c:v>208</c:v>
                </c:pt>
                <c:pt idx="10">
                  <c:v>240</c:v>
                </c:pt>
                <c:pt idx="11">
                  <c:v>288</c:v>
                </c:pt>
                <c:pt idx="12">
                  <c:v>352</c:v>
                </c:pt>
                <c:pt idx="13">
                  <c:v>448</c:v>
                </c:pt>
                <c:pt idx="14">
                  <c:v>512</c:v>
                </c:pt>
                <c:pt idx="15">
                  <c:v>576</c:v>
                </c:pt>
                <c:pt idx="16">
                  <c:v>640</c:v>
                </c:pt>
                <c:pt idx="17">
                  <c:v>768</c:v>
                </c:pt>
                <c:pt idx="18">
                  <c:v>896</c:v>
                </c:pt>
                <c:pt idx="19">
                  <c:v>1024</c:v>
                </c:pt>
              </c:numCache>
            </c:numRef>
          </c:xVal>
          <c:yVal>
            <c:numRef>
              <c:f>centreholedrill!$E$13:$E$32</c:f>
              <c:numCache>
                <c:formatCode>General</c:formatCode>
                <c:ptCount val="20"/>
                <c:pt idx="0">
                  <c:v>-60.28677695401214</c:v>
                </c:pt>
                <c:pt idx="1">
                  <c:v>-183.97543273840722</c:v>
                </c:pt>
                <c:pt idx="2">
                  <c:v>-265.86443517578698</c:v>
                </c:pt>
                <c:pt idx="3">
                  <c:v>-283.64432347136909</c:v>
                </c:pt>
                <c:pt idx="4">
                  <c:v>-274.55738230215326</c:v>
                </c:pt>
                <c:pt idx="5">
                  <c:v>-261.38170793760406</c:v>
                </c:pt>
                <c:pt idx="6">
                  <c:v>-254.29968294468719</c:v>
                </c:pt>
                <c:pt idx="7">
                  <c:v>-246.23996681772391</c:v>
                </c:pt>
                <c:pt idx="8">
                  <c:v>-246.97997818783895</c:v>
                </c:pt>
                <c:pt idx="9">
                  <c:v>-245.7093788977601</c:v>
                </c:pt>
                <c:pt idx="10">
                  <c:v>-239.43265899480375</c:v>
                </c:pt>
                <c:pt idx="11">
                  <c:v>-227.27390653357051</c:v>
                </c:pt>
                <c:pt idx="12">
                  <c:v>-217.69518172818749</c:v>
                </c:pt>
                <c:pt idx="13">
                  <c:v>-197.2549552340439</c:v>
                </c:pt>
                <c:pt idx="14">
                  <c:v>-169.15031563667972</c:v>
                </c:pt>
                <c:pt idx="15">
                  <c:v>-155.09799583799764</c:v>
                </c:pt>
                <c:pt idx="16">
                  <c:v>-141.04567603931554</c:v>
                </c:pt>
                <c:pt idx="17">
                  <c:v>-111.50118975097647</c:v>
                </c:pt>
                <c:pt idx="18">
                  <c:v>-96.728946606806915</c:v>
                </c:pt>
                <c:pt idx="19">
                  <c:v>-81.956703462637378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0BD-4387-A84E-86F92D015E7B}"/>
            </c:ext>
          </c:extLst>
        </c:ser>
        <c:ser>
          <c:idx val="0"/>
          <c:order val="2"/>
          <c:tx>
            <c:strRef>
              <c:f>centreholedrill!$K$10</c:f>
              <c:strCache>
                <c:ptCount val="1"/>
                <c:pt idx="0">
                  <c:v>AB_Hole 2_s1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centreholedrill!$H$13:$H$32</c:f>
              <c:numCache>
                <c:formatCode>General</c:formatCode>
                <c:ptCount val="20"/>
                <c:pt idx="0">
                  <c:v>8</c:v>
                </c:pt>
                <c:pt idx="1">
                  <c:v>24</c:v>
                </c:pt>
                <c:pt idx="2">
                  <c:v>40</c:v>
                </c:pt>
                <c:pt idx="3">
                  <c:v>56</c:v>
                </c:pt>
                <c:pt idx="4">
                  <c:v>72</c:v>
                </c:pt>
                <c:pt idx="5">
                  <c:v>88</c:v>
                </c:pt>
                <c:pt idx="6">
                  <c:v>112</c:v>
                </c:pt>
                <c:pt idx="7">
                  <c:v>144</c:v>
                </c:pt>
                <c:pt idx="8">
                  <c:v>176</c:v>
                </c:pt>
                <c:pt idx="9">
                  <c:v>208</c:v>
                </c:pt>
                <c:pt idx="10">
                  <c:v>240</c:v>
                </c:pt>
                <c:pt idx="11">
                  <c:v>288</c:v>
                </c:pt>
                <c:pt idx="12">
                  <c:v>352</c:v>
                </c:pt>
                <c:pt idx="13">
                  <c:v>448</c:v>
                </c:pt>
                <c:pt idx="14">
                  <c:v>512</c:v>
                </c:pt>
                <c:pt idx="15">
                  <c:v>576</c:v>
                </c:pt>
                <c:pt idx="16">
                  <c:v>640</c:v>
                </c:pt>
                <c:pt idx="17">
                  <c:v>768</c:v>
                </c:pt>
                <c:pt idx="18">
                  <c:v>896</c:v>
                </c:pt>
                <c:pt idx="19">
                  <c:v>1024</c:v>
                </c:pt>
              </c:numCache>
            </c:numRef>
          </c:xVal>
          <c:yVal>
            <c:numRef>
              <c:f>centreholedrill!$K$13:$K$32</c:f>
              <c:numCache>
                <c:formatCode>General</c:formatCode>
                <c:ptCount val="20"/>
                <c:pt idx="0">
                  <c:v>-185.27607707958822</c:v>
                </c:pt>
                <c:pt idx="1">
                  <c:v>-250.07592809430105</c:v>
                </c:pt>
                <c:pt idx="2">
                  <c:v>-293.54847535238463</c:v>
                </c:pt>
                <c:pt idx="3">
                  <c:v>-295.87331468989788</c:v>
                </c:pt>
                <c:pt idx="4">
                  <c:v>-287.95551679324797</c:v>
                </c:pt>
                <c:pt idx="5">
                  <c:v>-289.75353977843554</c:v>
                </c:pt>
                <c:pt idx="6">
                  <c:v>-291.38043775493384</c:v>
                </c:pt>
                <c:pt idx="7">
                  <c:v>-270.25334379560286</c:v>
                </c:pt>
                <c:pt idx="8">
                  <c:v>-252.58866899256785</c:v>
                </c:pt>
                <c:pt idx="9">
                  <c:v>-240.30824804091614</c:v>
                </c:pt>
                <c:pt idx="10">
                  <c:v>-231.15374146035305</c:v>
                </c:pt>
                <c:pt idx="11">
                  <c:v>-215.65322568821546</c:v>
                </c:pt>
                <c:pt idx="12">
                  <c:v>-197.48244939618047</c:v>
                </c:pt>
                <c:pt idx="13">
                  <c:v>-171.39439632849582</c:v>
                </c:pt>
                <c:pt idx="14">
                  <c:v>-142.60667032475175</c:v>
                </c:pt>
                <c:pt idx="15">
                  <c:v>-128.21280732287971</c:v>
                </c:pt>
                <c:pt idx="16">
                  <c:v>-113.81894432100765</c:v>
                </c:pt>
                <c:pt idx="17">
                  <c:v>-83.563891310157388</c:v>
                </c:pt>
                <c:pt idx="18">
                  <c:v>-68.43636480473225</c:v>
                </c:pt>
                <c:pt idx="19">
                  <c:v>-53.308838299307105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0BD-4387-A84E-86F92D015E7B}"/>
            </c:ext>
          </c:extLst>
        </c:ser>
        <c:ser>
          <c:idx val="1"/>
          <c:order val="3"/>
          <c:tx>
            <c:strRef>
              <c:f>centreholedrill!$L$10</c:f>
              <c:strCache>
                <c:ptCount val="1"/>
                <c:pt idx="0">
                  <c:v>AB_Hole 2_s3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centreholedrill!$H$13:$H$32</c:f>
              <c:numCache>
                <c:formatCode>General</c:formatCode>
                <c:ptCount val="20"/>
                <c:pt idx="0">
                  <c:v>8</c:v>
                </c:pt>
                <c:pt idx="1">
                  <c:v>24</c:v>
                </c:pt>
                <c:pt idx="2">
                  <c:v>40</c:v>
                </c:pt>
                <c:pt idx="3">
                  <c:v>56</c:v>
                </c:pt>
                <c:pt idx="4">
                  <c:v>72</c:v>
                </c:pt>
                <c:pt idx="5">
                  <c:v>88</c:v>
                </c:pt>
                <c:pt idx="6">
                  <c:v>112</c:v>
                </c:pt>
                <c:pt idx="7">
                  <c:v>144</c:v>
                </c:pt>
                <c:pt idx="8">
                  <c:v>176</c:v>
                </c:pt>
                <c:pt idx="9">
                  <c:v>208</c:v>
                </c:pt>
                <c:pt idx="10">
                  <c:v>240</c:v>
                </c:pt>
                <c:pt idx="11">
                  <c:v>288</c:v>
                </c:pt>
                <c:pt idx="12">
                  <c:v>352</c:v>
                </c:pt>
                <c:pt idx="13">
                  <c:v>448</c:v>
                </c:pt>
                <c:pt idx="14">
                  <c:v>512</c:v>
                </c:pt>
                <c:pt idx="15">
                  <c:v>576</c:v>
                </c:pt>
                <c:pt idx="16">
                  <c:v>640</c:v>
                </c:pt>
                <c:pt idx="17">
                  <c:v>768</c:v>
                </c:pt>
                <c:pt idx="18">
                  <c:v>896</c:v>
                </c:pt>
                <c:pt idx="19">
                  <c:v>1024</c:v>
                </c:pt>
              </c:numCache>
            </c:numRef>
          </c:xVal>
          <c:yVal>
            <c:numRef>
              <c:f>centreholedrill!$L$13:$L$32</c:f>
              <c:numCache>
                <c:formatCode>General</c:formatCode>
                <c:ptCount val="20"/>
                <c:pt idx="0">
                  <c:v>-144.50271210732609</c:v>
                </c:pt>
                <c:pt idx="1">
                  <c:v>-201.37690320055123</c:v>
                </c:pt>
                <c:pt idx="2">
                  <c:v>-232.43502017721556</c:v>
                </c:pt>
                <c:pt idx="3">
                  <c:v>-237.92625208715134</c:v>
                </c:pt>
                <c:pt idx="4">
                  <c:v>-237.86366289825764</c:v>
                </c:pt>
                <c:pt idx="5">
                  <c:v>-242.20348283681798</c:v>
                </c:pt>
                <c:pt idx="6">
                  <c:v>-249.65850966831988</c:v>
                </c:pt>
                <c:pt idx="7">
                  <c:v>-241.69195157481869</c:v>
                </c:pt>
                <c:pt idx="8">
                  <c:v>-237.93971042175647</c:v>
                </c:pt>
                <c:pt idx="9">
                  <c:v>-231.41779007024681</c:v>
                </c:pt>
                <c:pt idx="10">
                  <c:v>-225.23153163168985</c:v>
                </c:pt>
                <c:pt idx="11">
                  <c:v>-215.14654102993325</c:v>
                </c:pt>
                <c:pt idx="12">
                  <c:v>-204.25176702337819</c:v>
                </c:pt>
                <c:pt idx="13">
                  <c:v>-177.14757205427662</c:v>
                </c:pt>
                <c:pt idx="14">
                  <c:v>-147.7059916105116</c:v>
                </c:pt>
                <c:pt idx="15">
                  <c:v>-132.98520138862909</c:v>
                </c:pt>
                <c:pt idx="16">
                  <c:v>-118.26441116674658</c:v>
                </c:pt>
                <c:pt idx="17">
                  <c:v>-88.191608437912336</c:v>
                </c:pt>
                <c:pt idx="18">
                  <c:v>-73.155207073495205</c:v>
                </c:pt>
                <c:pt idx="19">
                  <c:v>-58.118805709078082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0BD-4387-A84E-86F92D015E7B}"/>
            </c:ext>
          </c:extLst>
        </c:ser>
        <c:ser>
          <c:idx val="4"/>
          <c:order val="4"/>
          <c:tx>
            <c:strRef>
              <c:f>centreholedrill!$AI$9</c:f>
              <c:strCache>
                <c:ptCount val="1"/>
                <c:pt idx="0">
                  <c:v>3 GW/cm^2_s1</c:v>
                </c:pt>
              </c:strCache>
            </c:strRef>
          </c:tx>
          <c:xVal>
            <c:numRef>
              <c:f>centreholedrill!$AH$12:$AH$31</c:f>
              <c:numCache>
                <c:formatCode>General</c:formatCode>
                <c:ptCount val="20"/>
                <c:pt idx="0">
                  <c:v>25</c:v>
                </c:pt>
                <c:pt idx="1">
                  <c:v>75</c:v>
                </c:pt>
                <c:pt idx="2">
                  <c:v>125</c:v>
                </c:pt>
                <c:pt idx="3">
                  <c:v>175</c:v>
                </c:pt>
                <c:pt idx="4">
                  <c:v>225</c:v>
                </c:pt>
                <c:pt idx="5">
                  <c:v>275</c:v>
                </c:pt>
                <c:pt idx="6">
                  <c:v>325</c:v>
                </c:pt>
                <c:pt idx="7">
                  <c:v>375</c:v>
                </c:pt>
                <c:pt idx="8">
                  <c:v>425</c:v>
                </c:pt>
                <c:pt idx="9">
                  <c:v>475</c:v>
                </c:pt>
                <c:pt idx="10">
                  <c:v>525</c:v>
                </c:pt>
                <c:pt idx="11">
                  <c:v>575</c:v>
                </c:pt>
                <c:pt idx="12">
                  <c:v>625</c:v>
                </c:pt>
                <c:pt idx="13">
                  <c:v>675</c:v>
                </c:pt>
                <c:pt idx="14">
                  <c:v>725</c:v>
                </c:pt>
                <c:pt idx="15">
                  <c:v>775</c:v>
                </c:pt>
                <c:pt idx="16">
                  <c:v>825</c:v>
                </c:pt>
                <c:pt idx="17">
                  <c:v>875</c:v>
                </c:pt>
                <c:pt idx="18">
                  <c:v>925</c:v>
                </c:pt>
                <c:pt idx="19">
                  <c:v>975</c:v>
                </c:pt>
              </c:numCache>
            </c:numRef>
          </c:xVal>
          <c:yVal>
            <c:numRef>
              <c:f>centreholedrill!$AI$12:$AI$31</c:f>
              <c:numCache>
                <c:formatCode>General</c:formatCode>
                <c:ptCount val="20"/>
                <c:pt idx="0">
                  <c:v>-269.541</c:v>
                </c:pt>
                <c:pt idx="1">
                  <c:v>-230.06800000000001</c:v>
                </c:pt>
                <c:pt idx="2">
                  <c:v>-195.501</c:v>
                </c:pt>
                <c:pt idx="3">
                  <c:v>-172.072</c:v>
                </c:pt>
                <c:pt idx="4">
                  <c:v>-160.07300000000001</c:v>
                </c:pt>
                <c:pt idx="5">
                  <c:v>-150.11799999999999</c:v>
                </c:pt>
                <c:pt idx="6">
                  <c:v>-138.77600000000001</c:v>
                </c:pt>
                <c:pt idx="7">
                  <c:v>-128.30600000000001</c:v>
                </c:pt>
                <c:pt idx="8">
                  <c:v>-118.021</c:v>
                </c:pt>
                <c:pt idx="9">
                  <c:v>-107.045</c:v>
                </c:pt>
                <c:pt idx="10">
                  <c:v>-96.843000000000004</c:v>
                </c:pt>
                <c:pt idx="11">
                  <c:v>-87.372</c:v>
                </c:pt>
                <c:pt idx="12">
                  <c:v>-76.751999999999995</c:v>
                </c:pt>
                <c:pt idx="13">
                  <c:v>-64.765000000000001</c:v>
                </c:pt>
                <c:pt idx="14">
                  <c:v>-53.203000000000003</c:v>
                </c:pt>
                <c:pt idx="15">
                  <c:v>-44.142000000000003</c:v>
                </c:pt>
                <c:pt idx="16">
                  <c:v>-38.945999999999998</c:v>
                </c:pt>
                <c:pt idx="17">
                  <c:v>-36.954000000000001</c:v>
                </c:pt>
                <c:pt idx="18">
                  <c:v>-35.945</c:v>
                </c:pt>
                <c:pt idx="19">
                  <c:v>-34.908999999999999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0BD-4387-A84E-86F92D015E7B}"/>
            </c:ext>
          </c:extLst>
        </c:ser>
        <c:ser>
          <c:idx val="5"/>
          <c:order val="5"/>
          <c:tx>
            <c:strRef>
              <c:f>centreholedrill!$AJ$9</c:f>
              <c:strCache>
                <c:ptCount val="1"/>
                <c:pt idx="0">
                  <c:v>3 GW/cm^2_s3</c:v>
                </c:pt>
              </c:strCache>
            </c:strRef>
          </c:tx>
          <c:xVal>
            <c:numRef>
              <c:f>centreholedrill!$AH$12:$AH$31</c:f>
              <c:numCache>
                <c:formatCode>General</c:formatCode>
                <c:ptCount val="20"/>
                <c:pt idx="0">
                  <c:v>25</c:v>
                </c:pt>
                <c:pt idx="1">
                  <c:v>75</c:v>
                </c:pt>
                <c:pt idx="2">
                  <c:v>125</c:v>
                </c:pt>
                <c:pt idx="3">
                  <c:v>175</c:v>
                </c:pt>
                <c:pt idx="4">
                  <c:v>225</c:v>
                </c:pt>
                <c:pt idx="5">
                  <c:v>275</c:v>
                </c:pt>
                <c:pt idx="6">
                  <c:v>325</c:v>
                </c:pt>
                <c:pt idx="7">
                  <c:v>375</c:v>
                </c:pt>
                <c:pt idx="8">
                  <c:v>425</c:v>
                </c:pt>
                <c:pt idx="9">
                  <c:v>475</c:v>
                </c:pt>
                <c:pt idx="10">
                  <c:v>525</c:v>
                </c:pt>
                <c:pt idx="11">
                  <c:v>575</c:v>
                </c:pt>
                <c:pt idx="12">
                  <c:v>625</c:v>
                </c:pt>
                <c:pt idx="13">
                  <c:v>675</c:v>
                </c:pt>
                <c:pt idx="14">
                  <c:v>725</c:v>
                </c:pt>
                <c:pt idx="15">
                  <c:v>775</c:v>
                </c:pt>
                <c:pt idx="16">
                  <c:v>825</c:v>
                </c:pt>
                <c:pt idx="17">
                  <c:v>875</c:v>
                </c:pt>
                <c:pt idx="18">
                  <c:v>925</c:v>
                </c:pt>
                <c:pt idx="19">
                  <c:v>975</c:v>
                </c:pt>
              </c:numCache>
            </c:numRef>
          </c:xVal>
          <c:yVal>
            <c:numRef>
              <c:f>centreholedrill!$AJ$12:$AJ$31</c:f>
              <c:numCache>
                <c:formatCode>General</c:formatCode>
                <c:ptCount val="20"/>
                <c:pt idx="0">
                  <c:v>-276.75799999999998</c:v>
                </c:pt>
                <c:pt idx="1">
                  <c:v>-231.04300000000001</c:v>
                </c:pt>
                <c:pt idx="2">
                  <c:v>-194.78299999999999</c:v>
                </c:pt>
                <c:pt idx="3">
                  <c:v>-171.977</c:v>
                </c:pt>
                <c:pt idx="4">
                  <c:v>-159.464</c:v>
                </c:pt>
                <c:pt idx="5">
                  <c:v>-146.381</c:v>
                </c:pt>
                <c:pt idx="6">
                  <c:v>-130.899</c:v>
                </c:pt>
                <c:pt idx="7">
                  <c:v>-118.22199999999999</c:v>
                </c:pt>
                <c:pt idx="8">
                  <c:v>-107.093</c:v>
                </c:pt>
                <c:pt idx="9">
                  <c:v>-95.007000000000005</c:v>
                </c:pt>
                <c:pt idx="10">
                  <c:v>-86.012</c:v>
                </c:pt>
                <c:pt idx="11">
                  <c:v>-82.328000000000003</c:v>
                </c:pt>
                <c:pt idx="12">
                  <c:v>-77.923000000000002</c:v>
                </c:pt>
                <c:pt idx="13">
                  <c:v>-67.759</c:v>
                </c:pt>
                <c:pt idx="14">
                  <c:v>-55.497</c:v>
                </c:pt>
                <c:pt idx="15">
                  <c:v>-46.984999999999999</c:v>
                </c:pt>
                <c:pt idx="16">
                  <c:v>-42.978999999999999</c:v>
                </c:pt>
                <c:pt idx="17">
                  <c:v>-41.703000000000003</c:v>
                </c:pt>
                <c:pt idx="18">
                  <c:v>-42.228999999999999</c:v>
                </c:pt>
                <c:pt idx="19">
                  <c:v>-43.457000000000001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0BD-4387-A84E-86F92D015E7B}"/>
            </c:ext>
          </c:extLst>
        </c:ser>
        <c:ser>
          <c:idx val="6"/>
          <c:order val="6"/>
          <c:tx>
            <c:strRef>
              <c:f>centreholedrill!$AP$9</c:f>
              <c:strCache>
                <c:ptCount val="1"/>
                <c:pt idx="0">
                  <c:v>5 GW/cm^2_s1</c:v>
                </c:pt>
              </c:strCache>
            </c:strRef>
          </c:tx>
          <c:xVal>
            <c:numRef>
              <c:f>centreholedrill!$AO$12:$AO$31</c:f>
              <c:numCache>
                <c:formatCode>General</c:formatCode>
                <c:ptCount val="20"/>
                <c:pt idx="0">
                  <c:v>25</c:v>
                </c:pt>
                <c:pt idx="1">
                  <c:v>75</c:v>
                </c:pt>
                <c:pt idx="2">
                  <c:v>125</c:v>
                </c:pt>
                <c:pt idx="3">
                  <c:v>175</c:v>
                </c:pt>
                <c:pt idx="4">
                  <c:v>225</c:v>
                </c:pt>
                <c:pt idx="5">
                  <c:v>275</c:v>
                </c:pt>
                <c:pt idx="6">
                  <c:v>325</c:v>
                </c:pt>
                <c:pt idx="7">
                  <c:v>375</c:v>
                </c:pt>
                <c:pt idx="8">
                  <c:v>425</c:v>
                </c:pt>
                <c:pt idx="9">
                  <c:v>475</c:v>
                </c:pt>
                <c:pt idx="10">
                  <c:v>525</c:v>
                </c:pt>
                <c:pt idx="11">
                  <c:v>575</c:v>
                </c:pt>
                <c:pt idx="12">
                  <c:v>625</c:v>
                </c:pt>
                <c:pt idx="13">
                  <c:v>675</c:v>
                </c:pt>
                <c:pt idx="14">
                  <c:v>725</c:v>
                </c:pt>
                <c:pt idx="15">
                  <c:v>775</c:v>
                </c:pt>
                <c:pt idx="16">
                  <c:v>825</c:v>
                </c:pt>
                <c:pt idx="17">
                  <c:v>875</c:v>
                </c:pt>
                <c:pt idx="18">
                  <c:v>925</c:v>
                </c:pt>
                <c:pt idx="19">
                  <c:v>975</c:v>
                </c:pt>
              </c:numCache>
            </c:numRef>
          </c:xVal>
          <c:yVal>
            <c:numRef>
              <c:f>centreholedrill!$AP$12:$AP$31</c:f>
              <c:numCache>
                <c:formatCode>General</c:formatCode>
                <c:ptCount val="20"/>
                <c:pt idx="0">
                  <c:v>-267.91699999999997</c:v>
                </c:pt>
                <c:pt idx="1">
                  <c:v>-284.71300000000002</c:v>
                </c:pt>
                <c:pt idx="2">
                  <c:v>-286.36799999999999</c:v>
                </c:pt>
                <c:pt idx="3">
                  <c:v>-260.77800000000002</c:v>
                </c:pt>
                <c:pt idx="4">
                  <c:v>-205.59899999999999</c:v>
                </c:pt>
                <c:pt idx="5">
                  <c:v>-152.01400000000001</c:v>
                </c:pt>
                <c:pt idx="6">
                  <c:v>-153.78</c:v>
                </c:pt>
                <c:pt idx="7">
                  <c:v>-203.72399999999999</c:v>
                </c:pt>
                <c:pt idx="8">
                  <c:v>-243.12100000000001</c:v>
                </c:pt>
                <c:pt idx="9">
                  <c:v>-241.756</c:v>
                </c:pt>
                <c:pt idx="10">
                  <c:v>-217.39699999999999</c:v>
                </c:pt>
                <c:pt idx="11">
                  <c:v>-197.072</c:v>
                </c:pt>
                <c:pt idx="12">
                  <c:v>-190.11699999999999</c:v>
                </c:pt>
                <c:pt idx="13">
                  <c:v>-189.49</c:v>
                </c:pt>
                <c:pt idx="14">
                  <c:v>-184.45099999999999</c:v>
                </c:pt>
                <c:pt idx="15">
                  <c:v>-172.40700000000001</c:v>
                </c:pt>
                <c:pt idx="16">
                  <c:v>-159.108</c:v>
                </c:pt>
                <c:pt idx="17">
                  <c:v>-148.345</c:v>
                </c:pt>
                <c:pt idx="18">
                  <c:v>-138.44200000000001</c:v>
                </c:pt>
                <c:pt idx="19">
                  <c:v>-128.197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0BD-4387-A84E-86F92D015E7B}"/>
            </c:ext>
          </c:extLst>
        </c:ser>
        <c:ser>
          <c:idx val="7"/>
          <c:order val="7"/>
          <c:tx>
            <c:strRef>
              <c:f>centreholedrill!$AQ$9</c:f>
              <c:strCache>
                <c:ptCount val="1"/>
                <c:pt idx="0">
                  <c:v>5 GW/cm^2_s3</c:v>
                </c:pt>
              </c:strCache>
            </c:strRef>
          </c:tx>
          <c:xVal>
            <c:numRef>
              <c:f>centreholedrill!$AO$12:$AO$31</c:f>
              <c:numCache>
                <c:formatCode>General</c:formatCode>
                <c:ptCount val="20"/>
                <c:pt idx="0">
                  <c:v>25</c:v>
                </c:pt>
                <c:pt idx="1">
                  <c:v>75</c:v>
                </c:pt>
                <c:pt idx="2">
                  <c:v>125</c:v>
                </c:pt>
                <c:pt idx="3">
                  <c:v>175</c:v>
                </c:pt>
                <c:pt idx="4">
                  <c:v>225</c:v>
                </c:pt>
                <c:pt idx="5">
                  <c:v>275</c:v>
                </c:pt>
                <c:pt idx="6">
                  <c:v>325</c:v>
                </c:pt>
                <c:pt idx="7">
                  <c:v>375</c:v>
                </c:pt>
                <c:pt idx="8">
                  <c:v>425</c:v>
                </c:pt>
                <c:pt idx="9">
                  <c:v>475</c:v>
                </c:pt>
                <c:pt idx="10">
                  <c:v>525</c:v>
                </c:pt>
                <c:pt idx="11">
                  <c:v>575</c:v>
                </c:pt>
                <c:pt idx="12">
                  <c:v>625</c:v>
                </c:pt>
                <c:pt idx="13">
                  <c:v>675</c:v>
                </c:pt>
                <c:pt idx="14">
                  <c:v>725</c:v>
                </c:pt>
                <c:pt idx="15">
                  <c:v>775</c:v>
                </c:pt>
                <c:pt idx="16">
                  <c:v>825</c:v>
                </c:pt>
                <c:pt idx="17">
                  <c:v>875</c:v>
                </c:pt>
                <c:pt idx="18">
                  <c:v>925</c:v>
                </c:pt>
                <c:pt idx="19">
                  <c:v>975</c:v>
                </c:pt>
              </c:numCache>
            </c:numRef>
          </c:xVal>
          <c:yVal>
            <c:numRef>
              <c:f>centreholedrill!$AQ$12:$AQ$31</c:f>
              <c:numCache>
                <c:formatCode>General</c:formatCode>
                <c:ptCount val="20"/>
                <c:pt idx="0">
                  <c:v>-286.101</c:v>
                </c:pt>
                <c:pt idx="1">
                  <c:v>-288.89999999999998</c:v>
                </c:pt>
                <c:pt idx="2">
                  <c:v>-279.30200000000002</c:v>
                </c:pt>
                <c:pt idx="3">
                  <c:v>-258.18599999999998</c:v>
                </c:pt>
                <c:pt idx="4">
                  <c:v>-236.84899999999999</c:v>
                </c:pt>
                <c:pt idx="5">
                  <c:v>-224.34200000000001</c:v>
                </c:pt>
                <c:pt idx="6">
                  <c:v>-223.935</c:v>
                </c:pt>
                <c:pt idx="7">
                  <c:v>-229.85300000000001</c:v>
                </c:pt>
                <c:pt idx="8">
                  <c:v>-233.06700000000001</c:v>
                </c:pt>
                <c:pt idx="9">
                  <c:v>-229.148</c:v>
                </c:pt>
                <c:pt idx="10">
                  <c:v>-219.071</c:v>
                </c:pt>
                <c:pt idx="11">
                  <c:v>-206.91</c:v>
                </c:pt>
                <c:pt idx="12">
                  <c:v>-196.69900000000001</c:v>
                </c:pt>
                <c:pt idx="13">
                  <c:v>-188.45599999999999</c:v>
                </c:pt>
                <c:pt idx="14">
                  <c:v>-178.197</c:v>
                </c:pt>
                <c:pt idx="15">
                  <c:v>-163.26</c:v>
                </c:pt>
                <c:pt idx="16">
                  <c:v>-145.82400000000001</c:v>
                </c:pt>
                <c:pt idx="17">
                  <c:v>-130.322</c:v>
                </c:pt>
                <c:pt idx="18">
                  <c:v>-118.706</c:v>
                </c:pt>
                <c:pt idx="19">
                  <c:v>-109.20099999999999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10BD-4387-A84E-86F92D015E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2680504"/>
        <c:axId val="452680176"/>
      </c:scatterChart>
      <c:valAx>
        <c:axId val="4526805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Depth [µm]</a:t>
                </a:r>
              </a:p>
            </c:rich>
          </c:tx>
          <c:layout>
            <c:manualLayout>
              <c:xMode val="edge"/>
              <c:yMode val="edge"/>
              <c:x val="0.46511542925114951"/>
              <c:y val="9.5151724282300287E-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680176"/>
        <c:crosses val="autoZero"/>
        <c:crossBetween val="midCat"/>
      </c:valAx>
      <c:valAx>
        <c:axId val="45268017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Residual Stress [MPa]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680504"/>
        <c:crosses val="autoZero"/>
        <c:crossBetween val="midCat"/>
      </c:valAx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All Bend bar Results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919994628106337"/>
          <c:y val="0.13625953052958295"/>
          <c:w val="0.82491117929940316"/>
          <c:h val="0.7424209077028313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centreholedrill!$D$10</c:f>
              <c:strCache>
                <c:ptCount val="1"/>
                <c:pt idx="0">
                  <c:v>AB_Hole 1_s1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centreholedrill!$A$13:$A$32</c:f>
              <c:numCache>
                <c:formatCode>General</c:formatCode>
                <c:ptCount val="20"/>
                <c:pt idx="0">
                  <c:v>8</c:v>
                </c:pt>
                <c:pt idx="1">
                  <c:v>24</c:v>
                </c:pt>
                <c:pt idx="2">
                  <c:v>40</c:v>
                </c:pt>
                <c:pt idx="3">
                  <c:v>56</c:v>
                </c:pt>
                <c:pt idx="4">
                  <c:v>72</c:v>
                </c:pt>
                <c:pt idx="5">
                  <c:v>88</c:v>
                </c:pt>
                <c:pt idx="6">
                  <c:v>112</c:v>
                </c:pt>
                <c:pt idx="7">
                  <c:v>144</c:v>
                </c:pt>
                <c:pt idx="8">
                  <c:v>176</c:v>
                </c:pt>
                <c:pt idx="9">
                  <c:v>208</c:v>
                </c:pt>
                <c:pt idx="10">
                  <c:v>240</c:v>
                </c:pt>
                <c:pt idx="11">
                  <c:v>288</c:v>
                </c:pt>
                <c:pt idx="12">
                  <c:v>352</c:v>
                </c:pt>
                <c:pt idx="13">
                  <c:v>448</c:v>
                </c:pt>
                <c:pt idx="14">
                  <c:v>512</c:v>
                </c:pt>
                <c:pt idx="15">
                  <c:v>576</c:v>
                </c:pt>
                <c:pt idx="16">
                  <c:v>640</c:v>
                </c:pt>
                <c:pt idx="17">
                  <c:v>768</c:v>
                </c:pt>
                <c:pt idx="18">
                  <c:v>896</c:v>
                </c:pt>
                <c:pt idx="19">
                  <c:v>1024</c:v>
                </c:pt>
              </c:numCache>
            </c:numRef>
          </c:xVal>
          <c:yVal>
            <c:numRef>
              <c:f>centreholedrill!$D$13:$D$32</c:f>
              <c:numCache>
                <c:formatCode>General</c:formatCode>
                <c:ptCount val="20"/>
                <c:pt idx="0">
                  <c:v>-65.664922748466552</c:v>
                </c:pt>
                <c:pt idx="1">
                  <c:v>-205.02940414169365</c:v>
                </c:pt>
                <c:pt idx="2">
                  <c:v>-296.34809108424668</c:v>
                </c:pt>
                <c:pt idx="3">
                  <c:v>-307.35425641568798</c:v>
                </c:pt>
                <c:pt idx="4">
                  <c:v>-297.06077483537791</c:v>
                </c:pt>
                <c:pt idx="5">
                  <c:v>-292.946151764587</c:v>
                </c:pt>
                <c:pt idx="6">
                  <c:v>-286.02285221703158</c:v>
                </c:pt>
                <c:pt idx="7">
                  <c:v>-270.11480730717795</c:v>
                </c:pt>
                <c:pt idx="8">
                  <c:v>-261.52695824893766</c:v>
                </c:pt>
                <c:pt idx="9">
                  <c:v>-251.96132781748824</c:v>
                </c:pt>
                <c:pt idx="10">
                  <c:v>-242.84499315844656</c:v>
                </c:pt>
                <c:pt idx="11">
                  <c:v>-227.05946903175644</c:v>
                </c:pt>
                <c:pt idx="12">
                  <c:v>-213.43858851760507</c:v>
                </c:pt>
                <c:pt idx="13">
                  <c:v>-182.7864946437216</c:v>
                </c:pt>
                <c:pt idx="14">
                  <c:v>-153.14565147248558</c:v>
                </c:pt>
                <c:pt idx="15">
                  <c:v>-138.32522988686759</c:v>
                </c:pt>
                <c:pt idx="16">
                  <c:v>-123.50480830124962</c:v>
                </c:pt>
                <c:pt idx="17">
                  <c:v>-95.273401481208253</c:v>
                </c:pt>
                <c:pt idx="18">
                  <c:v>-81.157698071187582</c:v>
                </c:pt>
                <c:pt idx="19">
                  <c:v>-67.041994661166896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0F7-429B-860E-5F6C9DEFC501}"/>
            </c:ext>
          </c:extLst>
        </c:ser>
        <c:ser>
          <c:idx val="1"/>
          <c:order val="1"/>
          <c:tx>
            <c:strRef>
              <c:f>centreholedrill!$E$10</c:f>
              <c:strCache>
                <c:ptCount val="1"/>
                <c:pt idx="0">
                  <c:v>AB_Hole 1_s3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centreholedrill!$A$13:$A$32</c:f>
              <c:numCache>
                <c:formatCode>General</c:formatCode>
                <c:ptCount val="20"/>
                <c:pt idx="0">
                  <c:v>8</c:v>
                </c:pt>
                <c:pt idx="1">
                  <c:v>24</c:v>
                </c:pt>
                <c:pt idx="2">
                  <c:v>40</c:v>
                </c:pt>
                <c:pt idx="3">
                  <c:v>56</c:v>
                </c:pt>
                <c:pt idx="4">
                  <c:v>72</c:v>
                </c:pt>
                <c:pt idx="5">
                  <c:v>88</c:v>
                </c:pt>
                <c:pt idx="6">
                  <c:v>112</c:v>
                </c:pt>
                <c:pt idx="7">
                  <c:v>144</c:v>
                </c:pt>
                <c:pt idx="8">
                  <c:v>176</c:v>
                </c:pt>
                <c:pt idx="9">
                  <c:v>208</c:v>
                </c:pt>
                <c:pt idx="10">
                  <c:v>240</c:v>
                </c:pt>
                <c:pt idx="11">
                  <c:v>288</c:v>
                </c:pt>
                <c:pt idx="12">
                  <c:v>352</c:v>
                </c:pt>
                <c:pt idx="13">
                  <c:v>448</c:v>
                </c:pt>
                <c:pt idx="14">
                  <c:v>512</c:v>
                </c:pt>
                <c:pt idx="15">
                  <c:v>576</c:v>
                </c:pt>
                <c:pt idx="16">
                  <c:v>640</c:v>
                </c:pt>
                <c:pt idx="17">
                  <c:v>768</c:v>
                </c:pt>
                <c:pt idx="18">
                  <c:v>896</c:v>
                </c:pt>
                <c:pt idx="19">
                  <c:v>1024</c:v>
                </c:pt>
              </c:numCache>
            </c:numRef>
          </c:xVal>
          <c:yVal>
            <c:numRef>
              <c:f>centreholedrill!$E$13:$E$32</c:f>
              <c:numCache>
                <c:formatCode>General</c:formatCode>
                <c:ptCount val="20"/>
                <c:pt idx="0">
                  <c:v>-60.28677695401214</c:v>
                </c:pt>
                <c:pt idx="1">
                  <c:v>-183.97543273840722</c:v>
                </c:pt>
                <c:pt idx="2">
                  <c:v>-265.86443517578698</c:v>
                </c:pt>
                <c:pt idx="3">
                  <c:v>-283.64432347136909</c:v>
                </c:pt>
                <c:pt idx="4">
                  <c:v>-274.55738230215326</c:v>
                </c:pt>
                <c:pt idx="5">
                  <c:v>-261.38170793760406</c:v>
                </c:pt>
                <c:pt idx="6">
                  <c:v>-254.29968294468719</c:v>
                </c:pt>
                <c:pt idx="7">
                  <c:v>-246.23996681772391</c:v>
                </c:pt>
                <c:pt idx="8">
                  <c:v>-246.97997818783895</c:v>
                </c:pt>
                <c:pt idx="9">
                  <c:v>-245.7093788977601</c:v>
                </c:pt>
                <c:pt idx="10">
                  <c:v>-239.43265899480375</c:v>
                </c:pt>
                <c:pt idx="11">
                  <c:v>-227.27390653357051</c:v>
                </c:pt>
                <c:pt idx="12">
                  <c:v>-217.69518172818749</c:v>
                </c:pt>
                <c:pt idx="13">
                  <c:v>-197.2549552340439</c:v>
                </c:pt>
                <c:pt idx="14">
                  <c:v>-169.15031563667972</c:v>
                </c:pt>
                <c:pt idx="15">
                  <c:v>-155.09799583799764</c:v>
                </c:pt>
                <c:pt idx="16">
                  <c:v>-141.04567603931554</c:v>
                </c:pt>
                <c:pt idx="17">
                  <c:v>-111.50118975097647</c:v>
                </c:pt>
                <c:pt idx="18">
                  <c:v>-96.728946606806915</c:v>
                </c:pt>
                <c:pt idx="19">
                  <c:v>-81.956703462637378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0F7-429B-860E-5F6C9DEFC501}"/>
            </c:ext>
          </c:extLst>
        </c:ser>
        <c:ser>
          <c:idx val="2"/>
          <c:order val="2"/>
          <c:tx>
            <c:strRef>
              <c:f>centreholedrill!$K$10</c:f>
              <c:strCache>
                <c:ptCount val="1"/>
                <c:pt idx="0">
                  <c:v>AB_Hole 2_s1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centreholedrill!$H$13:$H$32</c:f>
              <c:numCache>
                <c:formatCode>General</c:formatCode>
                <c:ptCount val="20"/>
                <c:pt idx="0">
                  <c:v>8</c:v>
                </c:pt>
                <c:pt idx="1">
                  <c:v>24</c:v>
                </c:pt>
                <c:pt idx="2">
                  <c:v>40</c:v>
                </c:pt>
                <c:pt idx="3">
                  <c:v>56</c:v>
                </c:pt>
                <c:pt idx="4">
                  <c:v>72</c:v>
                </c:pt>
                <c:pt idx="5">
                  <c:v>88</c:v>
                </c:pt>
                <c:pt idx="6">
                  <c:v>112</c:v>
                </c:pt>
                <c:pt idx="7">
                  <c:v>144</c:v>
                </c:pt>
                <c:pt idx="8">
                  <c:v>176</c:v>
                </c:pt>
                <c:pt idx="9">
                  <c:v>208</c:v>
                </c:pt>
                <c:pt idx="10">
                  <c:v>240</c:v>
                </c:pt>
                <c:pt idx="11">
                  <c:v>288</c:v>
                </c:pt>
                <c:pt idx="12">
                  <c:v>352</c:v>
                </c:pt>
                <c:pt idx="13">
                  <c:v>448</c:v>
                </c:pt>
                <c:pt idx="14">
                  <c:v>512</c:v>
                </c:pt>
                <c:pt idx="15">
                  <c:v>576</c:v>
                </c:pt>
                <c:pt idx="16">
                  <c:v>640</c:v>
                </c:pt>
                <c:pt idx="17">
                  <c:v>768</c:v>
                </c:pt>
                <c:pt idx="18">
                  <c:v>896</c:v>
                </c:pt>
                <c:pt idx="19">
                  <c:v>1024</c:v>
                </c:pt>
              </c:numCache>
            </c:numRef>
          </c:xVal>
          <c:yVal>
            <c:numRef>
              <c:f>centreholedrill!$K$13:$K$33</c:f>
              <c:numCache>
                <c:formatCode>General</c:formatCode>
                <c:ptCount val="21"/>
                <c:pt idx="0">
                  <c:v>-185.27607707958822</c:v>
                </c:pt>
                <c:pt idx="1">
                  <c:v>-250.07592809430105</c:v>
                </c:pt>
                <c:pt idx="2">
                  <c:v>-293.54847535238463</c:v>
                </c:pt>
                <c:pt idx="3">
                  <c:v>-295.87331468989788</c:v>
                </c:pt>
                <c:pt idx="4">
                  <c:v>-287.95551679324797</c:v>
                </c:pt>
                <c:pt idx="5">
                  <c:v>-289.75353977843554</c:v>
                </c:pt>
                <c:pt idx="6">
                  <c:v>-291.38043775493384</c:v>
                </c:pt>
                <c:pt idx="7">
                  <c:v>-270.25334379560286</c:v>
                </c:pt>
                <c:pt idx="8">
                  <c:v>-252.58866899256785</c:v>
                </c:pt>
                <c:pt idx="9">
                  <c:v>-240.30824804091614</c:v>
                </c:pt>
                <c:pt idx="10">
                  <c:v>-231.15374146035305</c:v>
                </c:pt>
                <c:pt idx="11">
                  <c:v>-215.65322568821546</c:v>
                </c:pt>
                <c:pt idx="12">
                  <c:v>-197.48244939618047</c:v>
                </c:pt>
                <c:pt idx="13">
                  <c:v>-171.39439632849582</c:v>
                </c:pt>
                <c:pt idx="14">
                  <c:v>-142.60667032475175</c:v>
                </c:pt>
                <c:pt idx="15">
                  <c:v>-128.21280732287971</c:v>
                </c:pt>
                <c:pt idx="16">
                  <c:v>-113.81894432100765</c:v>
                </c:pt>
                <c:pt idx="17">
                  <c:v>-83.563891310157388</c:v>
                </c:pt>
                <c:pt idx="18">
                  <c:v>-68.43636480473225</c:v>
                </c:pt>
                <c:pt idx="19">
                  <c:v>-53.308838299307105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0F7-429B-860E-5F6C9DEFC501}"/>
            </c:ext>
          </c:extLst>
        </c:ser>
        <c:ser>
          <c:idx val="3"/>
          <c:order val="3"/>
          <c:tx>
            <c:strRef>
              <c:f>centreholedrill!$L$10</c:f>
              <c:strCache>
                <c:ptCount val="1"/>
                <c:pt idx="0">
                  <c:v>AB_Hole 2_s3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centreholedrill!$H$13:$H$32</c:f>
              <c:numCache>
                <c:formatCode>General</c:formatCode>
                <c:ptCount val="20"/>
                <c:pt idx="0">
                  <c:v>8</c:v>
                </c:pt>
                <c:pt idx="1">
                  <c:v>24</c:v>
                </c:pt>
                <c:pt idx="2">
                  <c:v>40</c:v>
                </c:pt>
                <c:pt idx="3">
                  <c:v>56</c:v>
                </c:pt>
                <c:pt idx="4">
                  <c:v>72</c:v>
                </c:pt>
                <c:pt idx="5">
                  <c:v>88</c:v>
                </c:pt>
                <c:pt idx="6">
                  <c:v>112</c:v>
                </c:pt>
                <c:pt idx="7">
                  <c:v>144</c:v>
                </c:pt>
                <c:pt idx="8">
                  <c:v>176</c:v>
                </c:pt>
                <c:pt idx="9">
                  <c:v>208</c:v>
                </c:pt>
                <c:pt idx="10">
                  <c:v>240</c:v>
                </c:pt>
                <c:pt idx="11">
                  <c:v>288</c:v>
                </c:pt>
                <c:pt idx="12">
                  <c:v>352</c:v>
                </c:pt>
                <c:pt idx="13">
                  <c:v>448</c:v>
                </c:pt>
                <c:pt idx="14">
                  <c:v>512</c:v>
                </c:pt>
                <c:pt idx="15">
                  <c:v>576</c:v>
                </c:pt>
                <c:pt idx="16">
                  <c:v>640</c:v>
                </c:pt>
                <c:pt idx="17">
                  <c:v>768</c:v>
                </c:pt>
                <c:pt idx="18">
                  <c:v>896</c:v>
                </c:pt>
                <c:pt idx="19">
                  <c:v>1024</c:v>
                </c:pt>
              </c:numCache>
            </c:numRef>
          </c:xVal>
          <c:yVal>
            <c:numRef>
              <c:f>centreholedrill!$L$13:$L$33</c:f>
              <c:numCache>
                <c:formatCode>General</c:formatCode>
                <c:ptCount val="21"/>
                <c:pt idx="0">
                  <c:v>-144.50271210732609</c:v>
                </c:pt>
                <c:pt idx="1">
                  <c:v>-201.37690320055123</c:v>
                </c:pt>
                <c:pt idx="2">
                  <c:v>-232.43502017721556</c:v>
                </c:pt>
                <c:pt idx="3">
                  <c:v>-237.92625208715134</c:v>
                </c:pt>
                <c:pt idx="4">
                  <c:v>-237.86366289825764</c:v>
                </c:pt>
                <c:pt idx="5">
                  <c:v>-242.20348283681798</c:v>
                </c:pt>
                <c:pt idx="6">
                  <c:v>-249.65850966831988</c:v>
                </c:pt>
                <c:pt idx="7">
                  <c:v>-241.69195157481869</c:v>
                </c:pt>
                <c:pt idx="8">
                  <c:v>-237.93971042175647</c:v>
                </c:pt>
                <c:pt idx="9">
                  <c:v>-231.41779007024681</c:v>
                </c:pt>
                <c:pt idx="10">
                  <c:v>-225.23153163168985</c:v>
                </c:pt>
                <c:pt idx="11">
                  <c:v>-215.14654102993325</c:v>
                </c:pt>
                <c:pt idx="12">
                  <c:v>-204.25176702337819</c:v>
                </c:pt>
                <c:pt idx="13">
                  <c:v>-177.14757205427662</c:v>
                </c:pt>
                <c:pt idx="14">
                  <c:v>-147.7059916105116</c:v>
                </c:pt>
                <c:pt idx="15">
                  <c:v>-132.98520138862909</c:v>
                </c:pt>
                <c:pt idx="16">
                  <c:v>-118.26441116674658</c:v>
                </c:pt>
                <c:pt idx="17">
                  <c:v>-88.191608437912336</c:v>
                </c:pt>
                <c:pt idx="18">
                  <c:v>-73.155207073495205</c:v>
                </c:pt>
                <c:pt idx="19">
                  <c:v>-58.118805709078082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0F7-429B-860E-5F6C9DEFC501}"/>
            </c:ext>
          </c:extLst>
        </c:ser>
        <c:ser>
          <c:idx val="4"/>
          <c:order val="4"/>
          <c:tx>
            <c:strRef>
              <c:f>centreholedrill!$S$10</c:f>
              <c:strCache>
                <c:ptCount val="1"/>
                <c:pt idx="0">
                  <c:v>NAB_Hole 1_s1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centreholedrill!$P$15:$P$32</c:f>
              <c:numCache>
                <c:formatCode>General</c:formatCode>
                <c:ptCount val="18"/>
                <c:pt idx="0">
                  <c:v>40</c:v>
                </c:pt>
                <c:pt idx="1">
                  <c:v>56</c:v>
                </c:pt>
                <c:pt idx="2">
                  <c:v>72</c:v>
                </c:pt>
                <c:pt idx="3">
                  <c:v>88</c:v>
                </c:pt>
                <c:pt idx="4">
                  <c:v>112</c:v>
                </c:pt>
                <c:pt idx="5">
                  <c:v>144</c:v>
                </c:pt>
                <c:pt idx="6">
                  <c:v>176</c:v>
                </c:pt>
                <c:pt idx="7">
                  <c:v>208</c:v>
                </c:pt>
                <c:pt idx="8">
                  <c:v>240</c:v>
                </c:pt>
                <c:pt idx="9">
                  <c:v>288</c:v>
                </c:pt>
                <c:pt idx="10">
                  <c:v>352</c:v>
                </c:pt>
                <c:pt idx="11">
                  <c:v>448</c:v>
                </c:pt>
                <c:pt idx="12">
                  <c:v>512</c:v>
                </c:pt>
                <c:pt idx="13">
                  <c:v>576</c:v>
                </c:pt>
                <c:pt idx="14">
                  <c:v>640</c:v>
                </c:pt>
                <c:pt idx="15">
                  <c:v>768</c:v>
                </c:pt>
                <c:pt idx="16">
                  <c:v>896</c:v>
                </c:pt>
                <c:pt idx="17">
                  <c:v>1024</c:v>
                </c:pt>
              </c:numCache>
            </c:numRef>
          </c:xVal>
          <c:yVal>
            <c:numRef>
              <c:f>centreholedrill!$S$15:$S$34</c:f>
              <c:numCache>
                <c:formatCode>General</c:formatCode>
                <c:ptCount val="20"/>
                <c:pt idx="0">
                  <c:v>-411.30121322521876</c:v>
                </c:pt>
                <c:pt idx="1">
                  <c:v>-405.98551843645185</c:v>
                </c:pt>
                <c:pt idx="2">
                  <c:v>-392.2126432547779</c:v>
                </c:pt>
                <c:pt idx="3">
                  <c:v>-388.80748031454812</c:v>
                </c:pt>
                <c:pt idx="4">
                  <c:v>-381.07671682773167</c:v>
                </c:pt>
                <c:pt idx="5">
                  <c:v>-351.97560651975596</c:v>
                </c:pt>
                <c:pt idx="6">
                  <c:v>-333.01086820867192</c:v>
                </c:pt>
                <c:pt idx="7">
                  <c:v>-321.85612489025704</c:v>
                </c:pt>
                <c:pt idx="8">
                  <c:v>-314.94952113151118</c:v>
                </c:pt>
                <c:pt idx="9">
                  <c:v>-290.58819170413852</c:v>
                </c:pt>
                <c:pt idx="10">
                  <c:v>-256.40594950652923</c:v>
                </c:pt>
                <c:pt idx="11">
                  <c:v>-213.46314470119884</c:v>
                </c:pt>
                <c:pt idx="12">
                  <c:v>-172.49742516715406</c:v>
                </c:pt>
                <c:pt idx="13">
                  <c:v>-152.01456540013166</c:v>
                </c:pt>
                <c:pt idx="14">
                  <c:v>-131.53170563310928</c:v>
                </c:pt>
                <c:pt idx="15">
                  <c:v>-100.18731458118241</c:v>
                </c:pt>
                <c:pt idx="16">
                  <c:v>-84.515119055218975</c:v>
                </c:pt>
                <c:pt idx="17">
                  <c:v>-68.842923529255543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0F7-429B-860E-5F6C9DEFC501}"/>
            </c:ext>
          </c:extLst>
        </c:ser>
        <c:ser>
          <c:idx val="5"/>
          <c:order val="5"/>
          <c:tx>
            <c:strRef>
              <c:f>centreholedrill!$T$10</c:f>
              <c:strCache>
                <c:ptCount val="1"/>
                <c:pt idx="0">
                  <c:v>NAB_Hole 1_s3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centreholedrill!$P$15:$P$30</c:f>
              <c:numCache>
                <c:formatCode>General</c:formatCode>
                <c:ptCount val="16"/>
                <c:pt idx="0">
                  <c:v>40</c:v>
                </c:pt>
                <c:pt idx="1">
                  <c:v>56</c:v>
                </c:pt>
                <c:pt idx="2">
                  <c:v>72</c:v>
                </c:pt>
                <c:pt idx="3">
                  <c:v>88</c:v>
                </c:pt>
                <c:pt idx="4">
                  <c:v>112</c:v>
                </c:pt>
                <c:pt idx="5">
                  <c:v>144</c:v>
                </c:pt>
                <c:pt idx="6">
                  <c:v>176</c:v>
                </c:pt>
                <c:pt idx="7">
                  <c:v>208</c:v>
                </c:pt>
                <c:pt idx="8">
                  <c:v>240</c:v>
                </c:pt>
                <c:pt idx="9">
                  <c:v>288</c:v>
                </c:pt>
                <c:pt idx="10">
                  <c:v>352</c:v>
                </c:pt>
                <c:pt idx="11">
                  <c:v>448</c:v>
                </c:pt>
                <c:pt idx="12">
                  <c:v>512</c:v>
                </c:pt>
                <c:pt idx="13">
                  <c:v>576</c:v>
                </c:pt>
                <c:pt idx="14">
                  <c:v>640</c:v>
                </c:pt>
                <c:pt idx="15">
                  <c:v>768</c:v>
                </c:pt>
              </c:numCache>
            </c:numRef>
          </c:xVal>
          <c:yVal>
            <c:numRef>
              <c:f>centreholedrill!$T$15:$T$34</c:f>
              <c:numCache>
                <c:formatCode>General</c:formatCode>
                <c:ptCount val="20"/>
                <c:pt idx="0">
                  <c:v>-358.79797392093081</c:v>
                </c:pt>
                <c:pt idx="1">
                  <c:v>-350.85105404914208</c:v>
                </c:pt>
                <c:pt idx="2">
                  <c:v>-345.14651174295392</c:v>
                </c:pt>
                <c:pt idx="3">
                  <c:v>-336.28561908710185</c:v>
                </c:pt>
                <c:pt idx="4">
                  <c:v>-328.60101406701796</c:v>
                </c:pt>
                <c:pt idx="5">
                  <c:v>-320.52427009902965</c:v>
                </c:pt>
                <c:pt idx="6">
                  <c:v>-311.74771097988173</c:v>
                </c:pt>
                <c:pt idx="7">
                  <c:v>-293.04797290985704</c:v>
                </c:pt>
                <c:pt idx="8">
                  <c:v>-281.74291618128638</c:v>
                </c:pt>
                <c:pt idx="9">
                  <c:v>-264.59239751817819</c:v>
                </c:pt>
                <c:pt idx="10">
                  <c:v>-242.50891346184224</c:v>
                </c:pt>
                <c:pt idx="11">
                  <c:v>-209.08233302176896</c:v>
                </c:pt>
                <c:pt idx="12">
                  <c:v>-175.04630817681851</c:v>
                </c:pt>
                <c:pt idx="13">
                  <c:v>-158.0282957543433</c:v>
                </c:pt>
                <c:pt idx="14">
                  <c:v>-141.01028333186812</c:v>
                </c:pt>
                <c:pt idx="15">
                  <c:v>-108.21698431794825</c:v>
                </c:pt>
                <c:pt idx="16">
                  <c:v>-91.8203348109883</c:v>
                </c:pt>
                <c:pt idx="17">
                  <c:v>-75.423685304028382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F0F7-429B-860E-5F6C9DEFC501}"/>
            </c:ext>
          </c:extLst>
        </c:ser>
        <c:ser>
          <c:idx val="6"/>
          <c:order val="6"/>
          <c:tx>
            <c:strRef>
              <c:f>centreholedrill!$Z$10</c:f>
              <c:strCache>
                <c:ptCount val="1"/>
                <c:pt idx="0">
                  <c:v>NAB_Hole 2_s1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centreholedrill!$W$13:$W$32</c:f>
              <c:numCache>
                <c:formatCode>General</c:formatCode>
                <c:ptCount val="20"/>
                <c:pt idx="0">
                  <c:v>8</c:v>
                </c:pt>
                <c:pt idx="1">
                  <c:v>24</c:v>
                </c:pt>
                <c:pt idx="2">
                  <c:v>40</c:v>
                </c:pt>
                <c:pt idx="3">
                  <c:v>56</c:v>
                </c:pt>
                <c:pt idx="4">
                  <c:v>72</c:v>
                </c:pt>
                <c:pt idx="5">
                  <c:v>88</c:v>
                </c:pt>
                <c:pt idx="6">
                  <c:v>112</c:v>
                </c:pt>
                <c:pt idx="7">
                  <c:v>144</c:v>
                </c:pt>
                <c:pt idx="8">
                  <c:v>176</c:v>
                </c:pt>
                <c:pt idx="9">
                  <c:v>208</c:v>
                </c:pt>
                <c:pt idx="10">
                  <c:v>240</c:v>
                </c:pt>
                <c:pt idx="11">
                  <c:v>288</c:v>
                </c:pt>
                <c:pt idx="12">
                  <c:v>352</c:v>
                </c:pt>
                <c:pt idx="13">
                  <c:v>448</c:v>
                </c:pt>
                <c:pt idx="14">
                  <c:v>512</c:v>
                </c:pt>
                <c:pt idx="15">
                  <c:v>576</c:v>
                </c:pt>
                <c:pt idx="16">
                  <c:v>640</c:v>
                </c:pt>
                <c:pt idx="17">
                  <c:v>768</c:v>
                </c:pt>
                <c:pt idx="18">
                  <c:v>896</c:v>
                </c:pt>
                <c:pt idx="19">
                  <c:v>1024</c:v>
                </c:pt>
              </c:numCache>
            </c:numRef>
          </c:xVal>
          <c:yVal>
            <c:numRef>
              <c:f>centreholedrill!$Z$13:$Z$32</c:f>
              <c:numCache>
                <c:formatCode>General</c:formatCode>
                <c:ptCount val="20"/>
                <c:pt idx="0">
                  <c:v>-128.89472922163452</c:v>
                </c:pt>
                <c:pt idx="1">
                  <c:v>-243.02474033622781</c:v>
                </c:pt>
                <c:pt idx="2">
                  <c:v>-340.1518318187413</c:v>
                </c:pt>
                <c:pt idx="3">
                  <c:v>-377.86843726856773</c:v>
                </c:pt>
                <c:pt idx="4">
                  <c:v>-372.27110213633642</c:v>
                </c:pt>
                <c:pt idx="5">
                  <c:v>-364.40842118933699</c:v>
                </c:pt>
                <c:pt idx="6">
                  <c:v>-373.75898064743353</c:v>
                </c:pt>
                <c:pt idx="7">
                  <c:v>-355.55926327957707</c:v>
                </c:pt>
                <c:pt idx="8">
                  <c:v>-342.72126106516947</c:v>
                </c:pt>
                <c:pt idx="9">
                  <c:v>-332.13295148552083</c:v>
                </c:pt>
                <c:pt idx="10">
                  <c:v>-321.44500318332462</c:v>
                </c:pt>
                <c:pt idx="11">
                  <c:v>-305.1465447992166</c:v>
                </c:pt>
                <c:pt idx="12">
                  <c:v>-275.13837724010955</c:v>
                </c:pt>
                <c:pt idx="13">
                  <c:v>-230.9903083941135</c:v>
                </c:pt>
                <c:pt idx="14">
                  <c:v>-194.43049955633711</c:v>
                </c:pt>
                <c:pt idx="15">
                  <c:v>-176.1505951374489</c:v>
                </c:pt>
                <c:pt idx="16">
                  <c:v>-157.8706907185607</c:v>
                </c:pt>
                <c:pt idx="17">
                  <c:v>-121.18201494941702</c:v>
                </c:pt>
                <c:pt idx="18">
                  <c:v>-102.8376770648452</c:v>
                </c:pt>
                <c:pt idx="19">
                  <c:v>-84.493339180273367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F0F7-429B-860E-5F6C9DEFC501}"/>
            </c:ext>
          </c:extLst>
        </c:ser>
        <c:ser>
          <c:idx val="7"/>
          <c:order val="7"/>
          <c:tx>
            <c:strRef>
              <c:f>centreholedrill!$AA$10</c:f>
              <c:strCache>
                <c:ptCount val="1"/>
                <c:pt idx="0">
                  <c:v>NAB_Hole 2_s3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centreholedrill!$W$13:$W$32</c:f>
              <c:numCache>
                <c:formatCode>General</c:formatCode>
                <c:ptCount val="20"/>
                <c:pt idx="0">
                  <c:v>8</c:v>
                </c:pt>
                <c:pt idx="1">
                  <c:v>24</c:v>
                </c:pt>
                <c:pt idx="2">
                  <c:v>40</c:v>
                </c:pt>
                <c:pt idx="3">
                  <c:v>56</c:v>
                </c:pt>
                <c:pt idx="4">
                  <c:v>72</c:v>
                </c:pt>
                <c:pt idx="5">
                  <c:v>88</c:v>
                </c:pt>
                <c:pt idx="6">
                  <c:v>112</c:v>
                </c:pt>
                <c:pt idx="7">
                  <c:v>144</c:v>
                </c:pt>
                <c:pt idx="8">
                  <c:v>176</c:v>
                </c:pt>
                <c:pt idx="9">
                  <c:v>208</c:v>
                </c:pt>
                <c:pt idx="10">
                  <c:v>240</c:v>
                </c:pt>
                <c:pt idx="11">
                  <c:v>288</c:v>
                </c:pt>
                <c:pt idx="12">
                  <c:v>352</c:v>
                </c:pt>
                <c:pt idx="13">
                  <c:v>448</c:v>
                </c:pt>
                <c:pt idx="14">
                  <c:v>512</c:v>
                </c:pt>
                <c:pt idx="15">
                  <c:v>576</c:v>
                </c:pt>
                <c:pt idx="16">
                  <c:v>640</c:v>
                </c:pt>
                <c:pt idx="17">
                  <c:v>768</c:v>
                </c:pt>
                <c:pt idx="18">
                  <c:v>896</c:v>
                </c:pt>
                <c:pt idx="19">
                  <c:v>1024</c:v>
                </c:pt>
              </c:numCache>
            </c:numRef>
          </c:xVal>
          <c:yVal>
            <c:numRef>
              <c:f>centreholedrill!$AA$13:$AA$33</c:f>
              <c:numCache>
                <c:formatCode>General</c:formatCode>
                <c:ptCount val="21"/>
                <c:pt idx="0">
                  <c:v>-128.89472922163452</c:v>
                </c:pt>
                <c:pt idx="1">
                  <c:v>-243.02474033622781</c:v>
                </c:pt>
                <c:pt idx="2">
                  <c:v>-328.79499790742358</c:v>
                </c:pt>
                <c:pt idx="3">
                  <c:v>-350.24486821610708</c:v>
                </c:pt>
                <c:pt idx="4">
                  <c:v>-351.6009221552452</c:v>
                </c:pt>
                <c:pt idx="5">
                  <c:v>-353.01620700516878</c:v>
                </c:pt>
                <c:pt idx="6">
                  <c:v>-345.95081497136039</c:v>
                </c:pt>
                <c:pt idx="7">
                  <c:v>-321.29008309265714</c:v>
                </c:pt>
                <c:pt idx="8">
                  <c:v>-309.08690184163419</c:v>
                </c:pt>
                <c:pt idx="9">
                  <c:v>-306.55441220510329</c:v>
                </c:pt>
                <c:pt idx="10">
                  <c:v>-305.49774896874499</c:v>
                </c:pt>
                <c:pt idx="11">
                  <c:v>-288.71753240661292</c:v>
                </c:pt>
                <c:pt idx="12">
                  <c:v>-261.0012949833573</c:v>
                </c:pt>
                <c:pt idx="13">
                  <c:v>-227.19634296966532</c:v>
                </c:pt>
                <c:pt idx="14">
                  <c:v>-194.97812655907381</c:v>
                </c:pt>
                <c:pt idx="15">
                  <c:v>-178.8690183537781</c:v>
                </c:pt>
                <c:pt idx="16">
                  <c:v>-162.75991014848233</c:v>
                </c:pt>
                <c:pt idx="17">
                  <c:v>-124.49501766113498</c:v>
                </c:pt>
                <c:pt idx="18">
                  <c:v>-105.36257141746131</c:v>
                </c:pt>
                <c:pt idx="19">
                  <c:v>-86.230125173787613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F0F7-429B-860E-5F6C9DEFC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2680504"/>
        <c:axId val="452680176"/>
      </c:scatterChart>
      <c:valAx>
        <c:axId val="4526805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Depth [µm]</a:t>
                </a:r>
              </a:p>
            </c:rich>
          </c:tx>
          <c:layout>
            <c:manualLayout>
              <c:xMode val="edge"/>
              <c:yMode val="edge"/>
              <c:x val="0.48631336690301363"/>
              <c:y val="9.23401553396601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680176"/>
        <c:crosses val="autoZero"/>
        <c:crossBetween val="midCat"/>
      </c:valAx>
      <c:valAx>
        <c:axId val="45268017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Residual Stress [MPa]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680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ZA"/>
              <a:t>Laser Peening Samples before and after removal of oxide</a:t>
            </a:r>
            <a:r>
              <a:rPr lang="en-ZA" baseline="0"/>
              <a:t> layer</a:t>
            </a:r>
            <a:endParaRPr lang="en-ZA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LPwC with oxide</c:v>
          </c:tx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'Proto XRD measurments'!$B$22:$B$31</c:f>
              <c:strCache>
                <c:ptCount val="10"/>
                <c:pt idx="0">
                  <c:v>LT-18</c:v>
                </c:pt>
                <c:pt idx="1">
                  <c:v>LT-19</c:v>
                </c:pt>
                <c:pt idx="2">
                  <c:v>LT-21</c:v>
                </c:pt>
                <c:pt idx="3">
                  <c:v>LT-22</c:v>
                </c:pt>
                <c:pt idx="4">
                  <c:v>LT-23</c:v>
                </c:pt>
                <c:pt idx="5">
                  <c:v>LT-24</c:v>
                </c:pt>
                <c:pt idx="6">
                  <c:v>LT-24</c:v>
                </c:pt>
                <c:pt idx="7">
                  <c:v>LT-25</c:v>
                </c:pt>
                <c:pt idx="8">
                  <c:v>LT-26</c:v>
                </c:pt>
                <c:pt idx="9">
                  <c:v>LT-27</c:v>
                </c:pt>
              </c:strCache>
            </c:strRef>
          </c:cat>
          <c:val>
            <c:numRef>
              <c:f>'Proto XRD measurments'!$F$22:$F$31</c:f>
              <c:numCache>
                <c:formatCode>General</c:formatCode>
                <c:ptCount val="10"/>
                <c:pt idx="0">
                  <c:v>-96.51</c:v>
                </c:pt>
                <c:pt idx="1">
                  <c:v>-97.56</c:v>
                </c:pt>
                <c:pt idx="2">
                  <c:v>-111.2</c:v>
                </c:pt>
                <c:pt idx="3">
                  <c:v>-126.85</c:v>
                </c:pt>
                <c:pt idx="4">
                  <c:v>-96.75</c:v>
                </c:pt>
                <c:pt idx="5">
                  <c:v>-97.35</c:v>
                </c:pt>
                <c:pt idx="6">
                  <c:v>-99.07</c:v>
                </c:pt>
                <c:pt idx="7">
                  <c:v>-107.39</c:v>
                </c:pt>
                <c:pt idx="8">
                  <c:v>-40.26</c:v>
                </c:pt>
                <c:pt idx="9">
                  <c:v>-86.3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50-41F2-8BCB-D346630766D3}"/>
            </c:ext>
          </c:extLst>
        </c:ser>
        <c:ser>
          <c:idx val="1"/>
          <c:order val="1"/>
          <c:tx>
            <c:v>LPwC oxide removed</c:v>
          </c:tx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'Proto XRD measurments'!$B$22:$B$31</c:f>
              <c:strCache>
                <c:ptCount val="10"/>
                <c:pt idx="0">
                  <c:v>LT-18</c:v>
                </c:pt>
                <c:pt idx="1">
                  <c:v>LT-19</c:v>
                </c:pt>
                <c:pt idx="2">
                  <c:v>LT-21</c:v>
                </c:pt>
                <c:pt idx="3">
                  <c:v>LT-22</c:v>
                </c:pt>
                <c:pt idx="4">
                  <c:v>LT-23</c:v>
                </c:pt>
                <c:pt idx="5">
                  <c:v>LT-24</c:v>
                </c:pt>
                <c:pt idx="6">
                  <c:v>LT-24</c:v>
                </c:pt>
                <c:pt idx="7">
                  <c:v>LT-25</c:v>
                </c:pt>
                <c:pt idx="8">
                  <c:v>LT-26</c:v>
                </c:pt>
                <c:pt idx="9">
                  <c:v>LT-27</c:v>
                </c:pt>
              </c:strCache>
            </c:strRef>
          </c:cat>
          <c:val>
            <c:numRef>
              <c:f>'Proto XRD measurments'!$F$37:$F$46</c:f>
              <c:numCache>
                <c:formatCode>General</c:formatCode>
                <c:ptCount val="10"/>
                <c:pt idx="0">
                  <c:v>-256</c:v>
                </c:pt>
                <c:pt idx="1">
                  <c:v>-300</c:v>
                </c:pt>
                <c:pt idx="2">
                  <c:v>-292.62</c:v>
                </c:pt>
                <c:pt idx="3">
                  <c:v>-218</c:v>
                </c:pt>
                <c:pt idx="4">
                  <c:v>-229.27</c:v>
                </c:pt>
                <c:pt idx="5">
                  <c:v>-231</c:v>
                </c:pt>
                <c:pt idx="6">
                  <c:v>-274.72000000000003</c:v>
                </c:pt>
                <c:pt idx="7">
                  <c:v>-278</c:v>
                </c:pt>
                <c:pt idx="8">
                  <c:v>-256.5</c:v>
                </c:pt>
                <c:pt idx="9">
                  <c:v>-237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750-41F2-8BCB-D346630766D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0446848"/>
        <c:axId val="111901312"/>
      </c:barChart>
      <c:catAx>
        <c:axId val="1104468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high"/>
        <c:crossAx val="111901312"/>
        <c:crosses val="autoZero"/>
        <c:auto val="1"/>
        <c:lblAlgn val="ctr"/>
        <c:lblOffset val="100"/>
        <c:noMultiLvlLbl val="0"/>
      </c:catAx>
      <c:valAx>
        <c:axId val="1119013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ZA" sz="1400"/>
                  <a:t>Residual Stress (MPa)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04468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ZA"/>
              <a:t>Minimum Principle</a:t>
            </a:r>
            <a:r>
              <a:rPr lang="en-ZA" baseline="0"/>
              <a:t> Stress</a:t>
            </a:r>
            <a:endParaRPr lang="en-ZA"/>
          </a:p>
          <a:p>
            <a:pPr>
              <a:defRPr/>
            </a:pPr>
            <a:r>
              <a:rPr lang="en-ZA"/>
              <a:t> LSP with Coating</a:t>
            </a:r>
          </a:p>
          <a:p>
            <a:pPr>
              <a:defRPr/>
            </a:pPr>
            <a:r>
              <a:rPr lang="en-ZA"/>
              <a:t>Sample FPBLT5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'Proto XRD measurments'!$C$14:$C$17</c:f>
              <c:strCache>
                <c:ptCount val="4"/>
                <c:pt idx="0">
                  <c:v>before LSP</c:v>
                </c:pt>
                <c:pt idx="1">
                  <c:v>after 1 layer LSP</c:v>
                </c:pt>
                <c:pt idx="2">
                  <c:v>after 2 layers LSP</c:v>
                </c:pt>
                <c:pt idx="3">
                  <c:v>after 3 layers</c:v>
                </c:pt>
              </c:strCache>
            </c:strRef>
          </c:cat>
          <c:val>
            <c:numRef>
              <c:f>'Proto XRD measurments'!$E$14:$E$17</c:f>
              <c:numCache>
                <c:formatCode>General</c:formatCode>
                <c:ptCount val="4"/>
                <c:pt idx="0">
                  <c:v>-60.15</c:v>
                </c:pt>
                <c:pt idx="1">
                  <c:v>-347</c:v>
                </c:pt>
                <c:pt idx="2">
                  <c:v>-375.39</c:v>
                </c:pt>
                <c:pt idx="3">
                  <c:v>-391.48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DF-4011-8754-0553FB47FB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0649088"/>
        <c:axId val="198895104"/>
      </c:barChart>
      <c:catAx>
        <c:axId val="170649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high"/>
        <c:txPr>
          <a:bodyPr/>
          <a:lstStyle/>
          <a:p>
            <a:pPr>
              <a:defRPr sz="1400"/>
            </a:pPr>
            <a:endParaRPr lang="en-US"/>
          </a:p>
        </c:txPr>
        <c:crossAx val="198895104"/>
        <c:crosses val="autoZero"/>
        <c:auto val="1"/>
        <c:lblAlgn val="ctr"/>
        <c:lblOffset val="100"/>
        <c:noMultiLvlLbl val="0"/>
      </c:catAx>
      <c:valAx>
        <c:axId val="1988951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ZA"/>
                  <a:t>Residual Stress (MPa)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706490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Distributions of stresses vs. depth</a:t>
            </a:r>
          </a:p>
        </c:rich>
      </c:tx>
      <c:layout>
        <c:manualLayout>
          <c:xMode val="edge"/>
          <c:yMode val="edge"/>
          <c:x val="0.65676671604168291"/>
          <c:y val="0.89801699716713879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title>
    <c:autoTitleDeleted val="0"/>
    <c:plotArea>
      <c:layout>
        <c:manualLayout>
          <c:layoutTarget val="inner"/>
          <c:xMode val="edge"/>
          <c:yMode val="edge"/>
          <c:x val="8.9109054489374631E-2"/>
          <c:y val="9.9150141643059492E-2"/>
          <c:w val="0.87788920348791299"/>
          <c:h val="0.8583569405099150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centreholdrill2!$Z$5</c:f>
              <c:strCache>
                <c:ptCount val="1"/>
                <c:pt idx="0">
                  <c:v>s1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centreholdrill2!$W$6:$W$25</c:f>
              <c:numCache>
                <c:formatCode>0</c:formatCode>
                <c:ptCount val="20"/>
                <c:pt idx="0">
                  <c:v>8</c:v>
                </c:pt>
                <c:pt idx="1">
                  <c:v>24</c:v>
                </c:pt>
                <c:pt idx="2">
                  <c:v>40</c:v>
                </c:pt>
                <c:pt idx="3">
                  <c:v>56</c:v>
                </c:pt>
                <c:pt idx="4">
                  <c:v>72</c:v>
                </c:pt>
                <c:pt idx="5">
                  <c:v>88</c:v>
                </c:pt>
                <c:pt idx="6">
                  <c:v>112</c:v>
                </c:pt>
                <c:pt idx="7">
                  <c:v>144</c:v>
                </c:pt>
                <c:pt idx="8">
                  <c:v>176</c:v>
                </c:pt>
                <c:pt idx="9">
                  <c:v>208</c:v>
                </c:pt>
                <c:pt idx="10">
                  <c:v>240</c:v>
                </c:pt>
                <c:pt idx="11">
                  <c:v>288</c:v>
                </c:pt>
                <c:pt idx="12">
                  <c:v>352</c:v>
                </c:pt>
                <c:pt idx="13">
                  <c:v>448</c:v>
                </c:pt>
                <c:pt idx="14">
                  <c:v>512</c:v>
                </c:pt>
                <c:pt idx="15">
                  <c:v>576</c:v>
                </c:pt>
                <c:pt idx="16">
                  <c:v>640</c:v>
                </c:pt>
                <c:pt idx="17">
                  <c:v>768</c:v>
                </c:pt>
                <c:pt idx="18">
                  <c:v>896</c:v>
                </c:pt>
                <c:pt idx="19">
                  <c:v>1024</c:v>
                </c:pt>
              </c:numCache>
            </c:numRef>
          </c:xVal>
          <c:yVal>
            <c:numRef>
              <c:f>centreholdrill2!$Z$6:$Z$25</c:f>
              <c:numCache>
                <c:formatCode>0</c:formatCode>
                <c:ptCount val="20"/>
                <c:pt idx="0">
                  <c:v>-285.31748861626073</c:v>
                </c:pt>
                <c:pt idx="1">
                  <c:v>-281.66171766122102</c:v>
                </c:pt>
                <c:pt idx="2">
                  <c:v>-262.50010469847854</c:v>
                </c:pt>
                <c:pt idx="3">
                  <c:v>-260.57323926047263</c:v>
                </c:pt>
                <c:pt idx="4">
                  <c:v>-304.94482814740951</c:v>
                </c:pt>
                <c:pt idx="5">
                  <c:v>-313.74829918907471</c:v>
                </c:pt>
                <c:pt idx="6">
                  <c:v>-254.52272661294856</c:v>
                </c:pt>
                <c:pt idx="7">
                  <c:v>-224.27346425168338</c:v>
                </c:pt>
                <c:pt idx="8">
                  <c:v>-213.66741552172513</c:v>
                </c:pt>
                <c:pt idx="9">
                  <c:v>-202.82989082330951</c:v>
                </c:pt>
                <c:pt idx="10">
                  <c:v>-226.34710588802682</c:v>
                </c:pt>
                <c:pt idx="11">
                  <c:v>-230.49847939479096</c:v>
                </c:pt>
                <c:pt idx="12">
                  <c:v>-193.03277252922305</c:v>
                </c:pt>
                <c:pt idx="13">
                  <c:v>-164.18155021050515</c:v>
                </c:pt>
                <c:pt idx="14">
                  <c:v>-144.38988073091156</c:v>
                </c:pt>
                <c:pt idx="15">
                  <c:v>-134.49404599111475</c:v>
                </c:pt>
                <c:pt idx="16">
                  <c:v>-124.59821125131791</c:v>
                </c:pt>
                <c:pt idx="17">
                  <c:v>-86.734742237748151</c:v>
                </c:pt>
                <c:pt idx="18">
                  <c:v>-67.803007730963259</c:v>
                </c:pt>
                <c:pt idx="19">
                  <c:v>-48.871273224178395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130-4EEC-B20A-46395A152FA9}"/>
            </c:ext>
          </c:extLst>
        </c:ser>
        <c:ser>
          <c:idx val="1"/>
          <c:order val="1"/>
          <c:tx>
            <c:strRef>
              <c:f>centreholdrill2!$AA$5</c:f>
              <c:strCache>
                <c:ptCount val="1"/>
                <c:pt idx="0">
                  <c:v>s3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centreholdrill2!$W$6:$W$25</c:f>
              <c:numCache>
                <c:formatCode>0</c:formatCode>
                <c:ptCount val="20"/>
                <c:pt idx="0">
                  <c:v>8</c:v>
                </c:pt>
                <c:pt idx="1">
                  <c:v>24</c:v>
                </c:pt>
                <c:pt idx="2">
                  <c:v>40</c:v>
                </c:pt>
                <c:pt idx="3">
                  <c:v>56</c:v>
                </c:pt>
                <c:pt idx="4">
                  <c:v>72</c:v>
                </c:pt>
                <c:pt idx="5">
                  <c:v>88</c:v>
                </c:pt>
                <c:pt idx="6">
                  <c:v>112</c:v>
                </c:pt>
                <c:pt idx="7">
                  <c:v>144</c:v>
                </c:pt>
                <c:pt idx="8">
                  <c:v>176</c:v>
                </c:pt>
                <c:pt idx="9">
                  <c:v>208</c:v>
                </c:pt>
                <c:pt idx="10">
                  <c:v>240</c:v>
                </c:pt>
                <c:pt idx="11">
                  <c:v>288</c:v>
                </c:pt>
                <c:pt idx="12">
                  <c:v>352</c:v>
                </c:pt>
                <c:pt idx="13">
                  <c:v>448</c:v>
                </c:pt>
                <c:pt idx="14">
                  <c:v>512</c:v>
                </c:pt>
                <c:pt idx="15">
                  <c:v>576</c:v>
                </c:pt>
                <c:pt idx="16">
                  <c:v>640</c:v>
                </c:pt>
                <c:pt idx="17">
                  <c:v>768</c:v>
                </c:pt>
                <c:pt idx="18">
                  <c:v>896</c:v>
                </c:pt>
                <c:pt idx="19">
                  <c:v>1024</c:v>
                </c:pt>
              </c:numCache>
            </c:numRef>
          </c:xVal>
          <c:yVal>
            <c:numRef>
              <c:f>centreholdrill2!$AA$6:$AA$25</c:f>
              <c:numCache>
                <c:formatCode>0</c:formatCode>
                <c:ptCount val="20"/>
                <c:pt idx="0">
                  <c:v>-331.17176616582498</c:v>
                </c:pt>
                <c:pt idx="1">
                  <c:v>-330.78359288351567</c:v>
                </c:pt>
                <c:pt idx="2">
                  <c:v>-325.89458903828717</c:v>
                </c:pt>
                <c:pt idx="3">
                  <c:v>-315.17810742431891</c:v>
                </c:pt>
                <c:pt idx="4">
                  <c:v>-329.36444254515283</c:v>
                </c:pt>
                <c:pt idx="5">
                  <c:v>-328.80643412955851</c:v>
                </c:pt>
                <c:pt idx="6">
                  <c:v>-277.65482551593578</c:v>
                </c:pt>
                <c:pt idx="7">
                  <c:v>-264.45815529591687</c:v>
                </c:pt>
                <c:pt idx="8">
                  <c:v>-265.20939832819158</c:v>
                </c:pt>
                <c:pt idx="9">
                  <c:v>-242.27735860192141</c:v>
                </c:pt>
                <c:pt idx="10">
                  <c:v>-219.93310269110066</c:v>
                </c:pt>
                <c:pt idx="11">
                  <c:v>-221.54723669150761</c:v>
                </c:pt>
                <c:pt idx="12">
                  <c:v>-208.95221981430876</c:v>
                </c:pt>
                <c:pt idx="13">
                  <c:v>-165.73915133272661</c:v>
                </c:pt>
                <c:pt idx="14">
                  <c:v>-141.3182183131126</c:v>
                </c:pt>
                <c:pt idx="15">
                  <c:v>-129.1077518033056</c:v>
                </c:pt>
                <c:pt idx="16">
                  <c:v>-116.89728529349858</c:v>
                </c:pt>
                <c:pt idx="17">
                  <c:v>-85.923825500576356</c:v>
                </c:pt>
                <c:pt idx="18">
                  <c:v>-70.437095604115257</c:v>
                </c:pt>
                <c:pt idx="19">
                  <c:v>-54.950365707654157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130-4EEC-B20A-46395A152F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266512"/>
        <c:axId val="1"/>
      </c:scatterChart>
      <c:valAx>
        <c:axId val="560266512"/>
        <c:scaling>
          <c:orientation val="minMax"/>
          <c:max val="1100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9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Depth                   </a:t>
                </a:r>
                <a:r>
                  <a:rPr lang="en-GB" sz="9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m</a:t>
                </a:r>
                <a:r>
                  <a:rPr lang="en-GB" sz="9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</a:t>
                </a:r>
              </a:p>
            </c:rich>
          </c:tx>
          <c:layout>
            <c:manualLayout>
              <c:xMode val="edge"/>
              <c:yMode val="edge"/>
              <c:x val="0.14356452968131458"/>
              <c:y val="1.416430594900849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max"/>
        <c:crossBetween val="midCat"/>
        <c:majorUnit val="200"/>
        <c:minorUnit val="100"/>
      </c:valAx>
      <c:valAx>
        <c:axId val="1"/>
        <c:scaling>
          <c:orientation val="minMax"/>
          <c:max val="500"/>
          <c:min val="-5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Residual Stress  MPa</a:t>
                </a:r>
              </a:p>
            </c:rich>
          </c:tx>
          <c:layout>
            <c:manualLayout>
              <c:xMode val="edge"/>
              <c:yMode val="edge"/>
              <c:x val="8.2508250825082501E-3"/>
              <c:y val="0.3286118980169971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60266512"/>
        <c:crossesAt val="0"/>
        <c:crossBetween val="midCat"/>
        <c:majorUnit val="100"/>
        <c:minorUnit val="1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587580017844302"/>
          <c:y val="0.76770538243626063"/>
          <c:w val="0.13036320954930136"/>
          <c:h val="0.11331444759206799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verticalDpi="96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978771149374894"/>
          <c:y val="9.9056603773584911E-2"/>
          <c:w val="0.59149059069687226"/>
          <c:h val="0.65566037735849059"/>
        </c:manualLayout>
      </c:layout>
      <c:radarChart>
        <c:radarStyle val="marker"/>
        <c:varyColors val="0"/>
        <c:ser>
          <c:idx val="0"/>
          <c:order val="0"/>
          <c:tx>
            <c:strRef>
              <c:f>centreholdrill2!$T$193</c:f>
              <c:strCache>
                <c:ptCount val="1"/>
                <c:pt idx="0">
                  <c:v>maximum principal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centreholdrill2!$T$194:$T$313</c:f>
              <c:numCache>
                <c:formatCode>General</c:formatCode>
                <c:ptCount val="1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A7-4AD7-8E62-36A2EC01F9EE}"/>
            </c:ext>
          </c:extLst>
        </c:ser>
        <c:ser>
          <c:idx val="1"/>
          <c:order val="1"/>
          <c:tx>
            <c:v/>
          </c:tx>
          <c:spPr>
            <a:ln w="19050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88A7-4AD7-8E62-36A2EC01F9EE}"/>
            </c:ext>
          </c:extLst>
        </c:ser>
        <c:ser>
          <c:idx val="2"/>
          <c:order val="2"/>
          <c:tx>
            <c:strRef>
              <c:f>centreholdrill2!$U$193</c:f>
              <c:strCache>
                <c:ptCount val="1"/>
                <c:pt idx="0">
                  <c:v>minimum principal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ysDash"/>
            </a:ln>
          </c:spPr>
          <c:marker>
            <c:symbol val="circle"/>
            <c:size val="6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centreholdrill2!$U$194:$U$313</c:f>
              <c:numCache>
                <c:formatCode>General</c:formatCode>
                <c:ptCount val="1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A7-4AD7-8E62-36A2EC01F9EE}"/>
            </c:ext>
          </c:extLst>
        </c:ser>
        <c:ser>
          <c:idx val="3"/>
          <c:order val="3"/>
          <c:tx>
            <c:v/>
          </c:tx>
          <c:spPr>
            <a:ln w="19050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3-88A7-4AD7-8E62-36A2EC01F9EE}"/>
            </c:ext>
          </c:extLst>
        </c:ser>
        <c:ser>
          <c:idx val="4"/>
          <c:order val="4"/>
          <c:tx>
            <c:strRef>
              <c:f>centreholdrill2!$V$193</c:f>
              <c:strCache>
                <c:ptCount val="1"/>
                <c:pt idx="0">
                  <c:v>max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centreholdrill2!$V$194:$V$313</c:f>
              <c:numCache>
                <c:formatCode>General</c:formatCode>
                <c:ptCount val="1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100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8A7-4AD7-8E62-36A2EC01F9EE}"/>
            </c:ext>
          </c:extLst>
        </c:ser>
        <c:ser>
          <c:idx val="5"/>
          <c:order val="5"/>
          <c:tx>
            <c:strRef>
              <c:f>centreholdrill2!$W$193</c:f>
              <c:strCache>
                <c:ptCount val="1"/>
                <c:pt idx="0">
                  <c:v>min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ysDash"/>
            </a:ln>
          </c:spPr>
          <c:marker>
            <c:symbol val="circle"/>
            <c:size val="6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centreholdrill2!$W$194:$W$313</c:f>
              <c:numCache>
                <c:formatCode>General</c:formatCode>
                <c:ptCount val="1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100</c:v>
                </c:pt>
                <c:pt idx="1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8A7-4AD7-8E62-36A2EC01F9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731392"/>
        <c:axId val="1"/>
      </c:radarChart>
      <c:catAx>
        <c:axId val="560731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one"/>
        <c:txPr>
          <a:bodyPr rot="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00"/>
        </c:scaling>
        <c:delete val="1"/>
        <c:axPos val="l"/>
        <c:numFmt formatCode="General" sourceLinked="1"/>
        <c:majorTickMark val="out"/>
        <c:minorTickMark val="none"/>
        <c:tickLblPos val="nextTo"/>
        <c:crossAx val="5607313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9.3617021276595741E-2"/>
          <c:y val="0.75943396226415094"/>
          <c:w val="0.66808644664097838"/>
          <c:h val="0.17924528301886788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verticalDpi="96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Relaxed Strains</a:t>
            </a:r>
          </a:p>
        </c:rich>
      </c:tx>
      <c:layout>
        <c:manualLayout>
          <c:xMode val="edge"/>
          <c:yMode val="edge"/>
          <c:x val="0.38700683600990554"/>
          <c:y val="1.398601398601398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994386129463856"/>
          <c:y val="6.9930229117108098E-2"/>
          <c:w val="0.81073669981654917"/>
          <c:h val="0.82750771121911249"/>
        </c:manualLayout>
      </c:layout>
      <c:scatterChart>
        <c:scatterStyle val="lineMarker"/>
        <c:varyColors val="0"/>
        <c:ser>
          <c:idx val="0"/>
          <c:order val="0"/>
          <c:tx>
            <c:strRef>
              <c:f>centreholdrill2!$P$5</c:f>
              <c:strCache>
                <c:ptCount val="1"/>
                <c:pt idx="0">
                  <c:v>e1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centreholdrill2!$A$12:$A$34</c:f>
              <c:numCache>
                <c:formatCode>0</c:formatCode>
                <c:ptCount val="23"/>
                <c:pt idx="0">
                  <c:v>16.027000000000001</c:v>
                </c:pt>
                <c:pt idx="1">
                  <c:v>31.992000000000001</c:v>
                </c:pt>
                <c:pt idx="2">
                  <c:v>47.988</c:v>
                </c:pt>
                <c:pt idx="3">
                  <c:v>63.984000000000002</c:v>
                </c:pt>
                <c:pt idx="4">
                  <c:v>79.98</c:v>
                </c:pt>
                <c:pt idx="5">
                  <c:v>95.975999999999999</c:v>
                </c:pt>
                <c:pt idx="6">
                  <c:v>127.968</c:v>
                </c:pt>
                <c:pt idx="7">
                  <c:v>159.96</c:v>
                </c:pt>
                <c:pt idx="8">
                  <c:v>191.952</c:v>
                </c:pt>
                <c:pt idx="9">
                  <c:v>223.94400000000002</c:v>
                </c:pt>
                <c:pt idx="10">
                  <c:v>255.93600000000001</c:v>
                </c:pt>
                <c:pt idx="11">
                  <c:v>319.92</c:v>
                </c:pt>
                <c:pt idx="12">
                  <c:v>383.904</c:v>
                </c:pt>
                <c:pt idx="13">
                  <c:v>447.88800000000003</c:v>
                </c:pt>
                <c:pt idx="14">
                  <c:v>511.87200000000001</c:v>
                </c:pt>
                <c:pt idx="15">
                  <c:v>575.85599999999999</c:v>
                </c:pt>
                <c:pt idx="16">
                  <c:v>639.84</c:v>
                </c:pt>
                <c:pt idx="17">
                  <c:v>768.10559999999998</c:v>
                </c:pt>
                <c:pt idx="18">
                  <c:v>896.1232</c:v>
                </c:pt>
                <c:pt idx="19">
                  <c:v>1024.1407999999999</c:v>
                </c:pt>
                <c:pt idx="20">
                  <c:v>1152.1584</c:v>
                </c:pt>
                <c:pt idx="21">
                  <c:v>1280.1759999999999</c:v>
                </c:pt>
                <c:pt idx="22">
                  <c:v>1408.1936000000001</c:v>
                </c:pt>
              </c:numCache>
            </c:numRef>
          </c:xVal>
          <c:yVal>
            <c:numRef>
              <c:f>centreholdrill2!$B$12:$B$34</c:f>
              <c:numCache>
                <c:formatCode>General</c:formatCode>
                <c:ptCount val="23"/>
                <c:pt idx="0">
                  <c:v>7</c:v>
                </c:pt>
                <c:pt idx="1">
                  <c:v>16</c:v>
                </c:pt>
                <c:pt idx="2">
                  <c:v>25</c:v>
                </c:pt>
                <c:pt idx="3">
                  <c:v>33</c:v>
                </c:pt>
                <c:pt idx="4">
                  <c:v>46</c:v>
                </c:pt>
                <c:pt idx="5">
                  <c:v>59</c:v>
                </c:pt>
                <c:pt idx="6">
                  <c:v>83</c:v>
                </c:pt>
                <c:pt idx="7">
                  <c:v>103</c:v>
                </c:pt>
                <c:pt idx="8">
                  <c:v>129</c:v>
                </c:pt>
                <c:pt idx="9">
                  <c:v>147</c:v>
                </c:pt>
                <c:pt idx="10">
                  <c:v>175</c:v>
                </c:pt>
                <c:pt idx="11">
                  <c:v>226</c:v>
                </c:pt>
                <c:pt idx="12">
                  <c:v>276</c:v>
                </c:pt>
                <c:pt idx="13">
                  <c:v>309</c:v>
                </c:pt>
                <c:pt idx="14">
                  <c:v>354</c:v>
                </c:pt>
                <c:pt idx="15">
                  <c:v>389</c:v>
                </c:pt>
                <c:pt idx="16">
                  <c:v>418</c:v>
                </c:pt>
                <c:pt idx="17">
                  <c:v>466</c:v>
                </c:pt>
                <c:pt idx="18">
                  <c:v>486</c:v>
                </c:pt>
                <c:pt idx="19">
                  <c:v>511</c:v>
                </c:pt>
                <c:pt idx="20">
                  <c:v>513</c:v>
                </c:pt>
                <c:pt idx="21">
                  <c:v>530</c:v>
                </c:pt>
                <c:pt idx="22">
                  <c:v>528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FE0-4438-B3B3-509622920568}"/>
            </c:ext>
          </c:extLst>
        </c:ser>
        <c:ser>
          <c:idx val="1"/>
          <c:order val="1"/>
          <c:tx>
            <c:strRef>
              <c:f>centreholdrill2!$Q$5</c:f>
              <c:strCache>
                <c:ptCount val="1"/>
                <c:pt idx="0">
                  <c:v>e2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centreholdrill2!$A$12:$A$34</c:f>
              <c:numCache>
                <c:formatCode>0</c:formatCode>
                <c:ptCount val="23"/>
                <c:pt idx="0">
                  <c:v>16.027000000000001</c:v>
                </c:pt>
                <c:pt idx="1">
                  <c:v>31.992000000000001</c:v>
                </c:pt>
                <c:pt idx="2">
                  <c:v>47.988</c:v>
                </c:pt>
                <c:pt idx="3">
                  <c:v>63.984000000000002</c:v>
                </c:pt>
                <c:pt idx="4">
                  <c:v>79.98</c:v>
                </c:pt>
                <c:pt idx="5">
                  <c:v>95.975999999999999</c:v>
                </c:pt>
                <c:pt idx="6">
                  <c:v>127.968</c:v>
                </c:pt>
                <c:pt idx="7">
                  <c:v>159.96</c:v>
                </c:pt>
                <c:pt idx="8">
                  <c:v>191.952</c:v>
                </c:pt>
                <c:pt idx="9">
                  <c:v>223.94400000000002</c:v>
                </c:pt>
                <c:pt idx="10">
                  <c:v>255.93600000000001</c:v>
                </c:pt>
                <c:pt idx="11">
                  <c:v>319.92</c:v>
                </c:pt>
                <c:pt idx="12">
                  <c:v>383.904</c:v>
                </c:pt>
                <c:pt idx="13">
                  <c:v>447.88800000000003</c:v>
                </c:pt>
                <c:pt idx="14">
                  <c:v>511.87200000000001</c:v>
                </c:pt>
                <c:pt idx="15">
                  <c:v>575.85599999999999</c:v>
                </c:pt>
                <c:pt idx="16">
                  <c:v>639.84</c:v>
                </c:pt>
                <c:pt idx="17">
                  <c:v>768.10559999999998</c:v>
                </c:pt>
                <c:pt idx="18">
                  <c:v>896.1232</c:v>
                </c:pt>
                <c:pt idx="19">
                  <c:v>1024.1407999999999</c:v>
                </c:pt>
                <c:pt idx="20">
                  <c:v>1152.1584</c:v>
                </c:pt>
                <c:pt idx="21">
                  <c:v>1280.1759999999999</c:v>
                </c:pt>
                <c:pt idx="22">
                  <c:v>1408.1936000000001</c:v>
                </c:pt>
              </c:numCache>
            </c:numRef>
          </c:xVal>
          <c:yVal>
            <c:numRef>
              <c:f>centreholdrill2!$C$12:$C$34</c:f>
              <c:numCache>
                <c:formatCode>General</c:formatCode>
                <c:ptCount val="23"/>
                <c:pt idx="0">
                  <c:v>6</c:v>
                </c:pt>
                <c:pt idx="1">
                  <c:v>16</c:v>
                </c:pt>
                <c:pt idx="2">
                  <c:v>25</c:v>
                </c:pt>
                <c:pt idx="3">
                  <c:v>34</c:v>
                </c:pt>
                <c:pt idx="4">
                  <c:v>47</c:v>
                </c:pt>
                <c:pt idx="5">
                  <c:v>60</c:v>
                </c:pt>
                <c:pt idx="6">
                  <c:v>81</c:v>
                </c:pt>
                <c:pt idx="7">
                  <c:v>105</c:v>
                </c:pt>
                <c:pt idx="8">
                  <c:v>131</c:v>
                </c:pt>
                <c:pt idx="9">
                  <c:v>152</c:v>
                </c:pt>
                <c:pt idx="10">
                  <c:v>177</c:v>
                </c:pt>
                <c:pt idx="11">
                  <c:v>227</c:v>
                </c:pt>
                <c:pt idx="12">
                  <c:v>273</c:v>
                </c:pt>
                <c:pt idx="13">
                  <c:v>311</c:v>
                </c:pt>
                <c:pt idx="14">
                  <c:v>349</c:v>
                </c:pt>
                <c:pt idx="15">
                  <c:v>383</c:v>
                </c:pt>
                <c:pt idx="16">
                  <c:v>411</c:v>
                </c:pt>
                <c:pt idx="17">
                  <c:v>452</c:v>
                </c:pt>
                <c:pt idx="18">
                  <c:v>475</c:v>
                </c:pt>
                <c:pt idx="19">
                  <c:v>497</c:v>
                </c:pt>
                <c:pt idx="20">
                  <c:v>505</c:v>
                </c:pt>
                <c:pt idx="21">
                  <c:v>517</c:v>
                </c:pt>
                <c:pt idx="22">
                  <c:v>517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FE0-4438-B3B3-509622920568}"/>
            </c:ext>
          </c:extLst>
        </c:ser>
        <c:ser>
          <c:idx val="2"/>
          <c:order val="2"/>
          <c:tx>
            <c:strRef>
              <c:f>centreholdrill2!$R$5</c:f>
              <c:strCache>
                <c:ptCount val="1"/>
                <c:pt idx="0">
                  <c:v>e3</c:v>
                </c:pt>
              </c:strCache>
            </c:strRef>
          </c:tx>
          <c:spPr>
            <a:ln w="12700">
              <a:solidFill>
                <a:srgbClr val="99CC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99CC00"/>
              </a:solidFill>
              <a:ln>
                <a:solidFill>
                  <a:srgbClr val="99CC00"/>
                </a:solidFill>
                <a:prstDash val="solid"/>
              </a:ln>
            </c:spPr>
          </c:marker>
          <c:xVal>
            <c:numRef>
              <c:f>centreholdrill2!$A$12:$A$34</c:f>
              <c:numCache>
                <c:formatCode>0</c:formatCode>
                <c:ptCount val="23"/>
                <c:pt idx="0">
                  <c:v>16.027000000000001</c:v>
                </c:pt>
                <c:pt idx="1">
                  <c:v>31.992000000000001</c:v>
                </c:pt>
                <c:pt idx="2">
                  <c:v>47.988</c:v>
                </c:pt>
                <c:pt idx="3">
                  <c:v>63.984000000000002</c:v>
                </c:pt>
                <c:pt idx="4">
                  <c:v>79.98</c:v>
                </c:pt>
                <c:pt idx="5">
                  <c:v>95.975999999999999</c:v>
                </c:pt>
                <c:pt idx="6">
                  <c:v>127.968</c:v>
                </c:pt>
                <c:pt idx="7">
                  <c:v>159.96</c:v>
                </c:pt>
                <c:pt idx="8">
                  <c:v>191.952</c:v>
                </c:pt>
                <c:pt idx="9">
                  <c:v>223.94400000000002</c:v>
                </c:pt>
                <c:pt idx="10">
                  <c:v>255.93600000000001</c:v>
                </c:pt>
                <c:pt idx="11">
                  <c:v>319.92</c:v>
                </c:pt>
                <c:pt idx="12">
                  <c:v>383.904</c:v>
                </c:pt>
                <c:pt idx="13">
                  <c:v>447.88800000000003</c:v>
                </c:pt>
                <c:pt idx="14">
                  <c:v>511.87200000000001</c:v>
                </c:pt>
                <c:pt idx="15">
                  <c:v>575.85599999999999</c:v>
                </c:pt>
                <c:pt idx="16">
                  <c:v>639.84</c:v>
                </c:pt>
                <c:pt idx="17">
                  <c:v>768.10559999999998</c:v>
                </c:pt>
                <c:pt idx="18">
                  <c:v>896.1232</c:v>
                </c:pt>
                <c:pt idx="19">
                  <c:v>1024.1407999999999</c:v>
                </c:pt>
                <c:pt idx="20">
                  <c:v>1152.1584</c:v>
                </c:pt>
                <c:pt idx="21">
                  <c:v>1280.1759999999999</c:v>
                </c:pt>
                <c:pt idx="22">
                  <c:v>1408.1936000000001</c:v>
                </c:pt>
              </c:numCache>
            </c:numRef>
          </c:xVal>
          <c:yVal>
            <c:numRef>
              <c:f>centreholdrill2!$D$12:$D$34</c:f>
              <c:numCache>
                <c:formatCode>General</c:formatCode>
                <c:ptCount val="23"/>
                <c:pt idx="0">
                  <c:v>9</c:v>
                </c:pt>
                <c:pt idx="1">
                  <c:v>20</c:v>
                </c:pt>
                <c:pt idx="2">
                  <c:v>32</c:v>
                </c:pt>
                <c:pt idx="3">
                  <c:v>44</c:v>
                </c:pt>
                <c:pt idx="4">
                  <c:v>57</c:v>
                </c:pt>
                <c:pt idx="5">
                  <c:v>72</c:v>
                </c:pt>
                <c:pt idx="6">
                  <c:v>97</c:v>
                </c:pt>
                <c:pt idx="7">
                  <c:v>125</c:v>
                </c:pt>
                <c:pt idx="8">
                  <c:v>154</c:v>
                </c:pt>
                <c:pt idx="9">
                  <c:v>184</c:v>
                </c:pt>
                <c:pt idx="10">
                  <c:v>208</c:v>
                </c:pt>
                <c:pt idx="11">
                  <c:v>262</c:v>
                </c:pt>
                <c:pt idx="12">
                  <c:v>315</c:v>
                </c:pt>
                <c:pt idx="13">
                  <c:v>363</c:v>
                </c:pt>
                <c:pt idx="14">
                  <c:v>399</c:v>
                </c:pt>
                <c:pt idx="15">
                  <c:v>434</c:v>
                </c:pt>
                <c:pt idx="16">
                  <c:v>467</c:v>
                </c:pt>
                <c:pt idx="17">
                  <c:v>510</c:v>
                </c:pt>
                <c:pt idx="18">
                  <c:v>539</c:v>
                </c:pt>
                <c:pt idx="19">
                  <c:v>558</c:v>
                </c:pt>
                <c:pt idx="20">
                  <c:v>573</c:v>
                </c:pt>
                <c:pt idx="21">
                  <c:v>581</c:v>
                </c:pt>
                <c:pt idx="22">
                  <c:v>584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FE0-4438-B3B3-509622920568}"/>
            </c:ext>
          </c:extLst>
        </c:ser>
        <c:ser>
          <c:idx val="3"/>
          <c:order val="3"/>
          <c:tx>
            <c:strRef>
              <c:f>centreholdrill2!$S$5</c:f>
              <c:strCache>
                <c:ptCount val="1"/>
                <c:pt idx="0">
                  <c:v>e1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centreholdrill2!$O$6:$O$28</c:f>
              <c:numCache>
                <c:formatCode>0</c:formatCode>
                <c:ptCount val="23"/>
                <c:pt idx="0">
                  <c:v>16.027000000000001</c:v>
                </c:pt>
                <c:pt idx="1">
                  <c:v>31.992000000000001</c:v>
                </c:pt>
                <c:pt idx="2">
                  <c:v>47.988</c:v>
                </c:pt>
                <c:pt idx="3">
                  <c:v>63.984000000000002</c:v>
                </c:pt>
                <c:pt idx="4">
                  <c:v>79.98</c:v>
                </c:pt>
                <c:pt idx="5">
                  <c:v>95.975999999999999</c:v>
                </c:pt>
                <c:pt idx="6">
                  <c:v>127.968</c:v>
                </c:pt>
                <c:pt idx="7">
                  <c:v>159.96</c:v>
                </c:pt>
                <c:pt idx="8">
                  <c:v>191.952</c:v>
                </c:pt>
                <c:pt idx="9">
                  <c:v>223.94400000000002</c:v>
                </c:pt>
                <c:pt idx="10">
                  <c:v>255.93600000000001</c:v>
                </c:pt>
                <c:pt idx="11">
                  <c:v>319.92</c:v>
                </c:pt>
                <c:pt idx="12">
                  <c:v>383.904</c:v>
                </c:pt>
                <c:pt idx="13">
                  <c:v>447.88800000000003</c:v>
                </c:pt>
                <c:pt idx="14">
                  <c:v>511.87200000000001</c:v>
                </c:pt>
                <c:pt idx="15">
                  <c:v>575.85599999999999</c:v>
                </c:pt>
                <c:pt idx="16">
                  <c:v>639.84</c:v>
                </c:pt>
                <c:pt idx="17">
                  <c:v>768.10559999999998</c:v>
                </c:pt>
                <c:pt idx="18">
                  <c:v>896.1232</c:v>
                </c:pt>
                <c:pt idx="19">
                  <c:v>1024.1407999999999</c:v>
                </c:pt>
                <c:pt idx="20">
                  <c:v>1152.1584</c:v>
                </c:pt>
                <c:pt idx="21">
                  <c:v>1280.1759999999999</c:v>
                </c:pt>
                <c:pt idx="22">
                  <c:v>1408.1936000000001</c:v>
                </c:pt>
              </c:numCache>
            </c:numRef>
          </c:xVal>
          <c:yVal>
            <c:numRef>
              <c:f>centreholdrill2!$S$6:$S$28</c:f>
              <c:numCache>
                <c:formatCode>0</c:formatCode>
                <c:ptCount val="23"/>
                <c:pt idx="0">
                  <c:v>7.5</c:v>
                </c:pt>
                <c:pt idx="1">
                  <c:v>16</c:v>
                </c:pt>
                <c:pt idx="2">
                  <c:v>24.75</c:v>
                </c:pt>
                <c:pt idx="3">
                  <c:v>34.25</c:v>
                </c:pt>
                <c:pt idx="4">
                  <c:v>46</c:v>
                </c:pt>
                <c:pt idx="5">
                  <c:v>58.75</c:v>
                </c:pt>
                <c:pt idx="6">
                  <c:v>82</c:v>
                </c:pt>
                <c:pt idx="7">
                  <c:v>104.5</c:v>
                </c:pt>
                <c:pt idx="8">
                  <c:v>127</c:v>
                </c:pt>
                <c:pt idx="9">
                  <c:v>149.5</c:v>
                </c:pt>
                <c:pt idx="10">
                  <c:v>174.375</c:v>
                </c:pt>
                <c:pt idx="11">
                  <c:v>225.75</c:v>
                </c:pt>
                <c:pt idx="12">
                  <c:v>271.75</c:v>
                </c:pt>
                <c:pt idx="13">
                  <c:v>312</c:v>
                </c:pt>
                <c:pt idx="14">
                  <c:v>351.5</c:v>
                </c:pt>
                <c:pt idx="15">
                  <c:v>387.5</c:v>
                </c:pt>
                <c:pt idx="16">
                  <c:v>416.75</c:v>
                </c:pt>
                <c:pt idx="17">
                  <c:v>459</c:v>
                </c:pt>
                <c:pt idx="18">
                  <c:v>487.25</c:v>
                </c:pt>
                <c:pt idx="19">
                  <c:v>505.25</c:v>
                </c:pt>
                <c:pt idx="20">
                  <c:v>516.75</c:v>
                </c:pt>
                <c:pt idx="21">
                  <c:v>523.66666666666663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FE0-4438-B3B3-509622920568}"/>
            </c:ext>
          </c:extLst>
        </c:ser>
        <c:ser>
          <c:idx val="4"/>
          <c:order val="4"/>
          <c:tx>
            <c:strRef>
              <c:f>centreholdrill2!$T$5</c:f>
              <c:strCache>
                <c:ptCount val="1"/>
                <c:pt idx="0">
                  <c:v>e2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centreholdrill2!$O$6:$O$27</c:f>
              <c:numCache>
                <c:formatCode>0</c:formatCode>
                <c:ptCount val="22"/>
                <c:pt idx="0">
                  <c:v>16.027000000000001</c:v>
                </c:pt>
                <c:pt idx="1">
                  <c:v>31.992000000000001</c:v>
                </c:pt>
                <c:pt idx="2">
                  <c:v>47.988</c:v>
                </c:pt>
                <c:pt idx="3">
                  <c:v>63.984000000000002</c:v>
                </c:pt>
                <c:pt idx="4">
                  <c:v>79.98</c:v>
                </c:pt>
                <c:pt idx="5">
                  <c:v>95.975999999999999</c:v>
                </c:pt>
                <c:pt idx="6">
                  <c:v>127.968</c:v>
                </c:pt>
                <c:pt idx="7">
                  <c:v>159.96</c:v>
                </c:pt>
                <c:pt idx="8">
                  <c:v>191.952</c:v>
                </c:pt>
                <c:pt idx="9">
                  <c:v>223.94400000000002</c:v>
                </c:pt>
                <c:pt idx="10">
                  <c:v>255.93600000000001</c:v>
                </c:pt>
                <c:pt idx="11">
                  <c:v>319.92</c:v>
                </c:pt>
                <c:pt idx="12">
                  <c:v>383.904</c:v>
                </c:pt>
                <c:pt idx="13">
                  <c:v>447.88800000000003</c:v>
                </c:pt>
                <c:pt idx="14">
                  <c:v>511.87200000000001</c:v>
                </c:pt>
                <c:pt idx="15">
                  <c:v>575.85599999999999</c:v>
                </c:pt>
                <c:pt idx="16">
                  <c:v>639.84</c:v>
                </c:pt>
                <c:pt idx="17">
                  <c:v>768.10559999999998</c:v>
                </c:pt>
                <c:pt idx="18">
                  <c:v>896.1232</c:v>
                </c:pt>
                <c:pt idx="19">
                  <c:v>1024.1407999999999</c:v>
                </c:pt>
                <c:pt idx="20">
                  <c:v>1152.1584</c:v>
                </c:pt>
                <c:pt idx="21">
                  <c:v>1280.1759999999999</c:v>
                </c:pt>
              </c:numCache>
            </c:numRef>
          </c:xVal>
          <c:yVal>
            <c:numRef>
              <c:f>centreholdrill2!$T$6:$T$27</c:f>
              <c:numCache>
                <c:formatCode>0</c:formatCode>
                <c:ptCount val="22"/>
                <c:pt idx="0">
                  <c:v>7</c:v>
                </c:pt>
                <c:pt idx="1">
                  <c:v>15.75</c:v>
                </c:pt>
                <c:pt idx="2">
                  <c:v>25</c:v>
                </c:pt>
                <c:pt idx="3">
                  <c:v>35</c:v>
                </c:pt>
                <c:pt idx="4">
                  <c:v>47</c:v>
                </c:pt>
                <c:pt idx="5">
                  <c:v>59.375</c:v>
                </c:pt>
                <c:pt idx="6">
                  <c:v>81.75</c:v>
                </c:pt>
                <c:pt idx="7">
                  <c:v>105.5</c:v>
                </c:pt>
                <c:pt idx="8">
                  <c:v>129.75</c:v>
                </c:pt>
                <c:pt idx="9">
                  <c:v>153</c:v>
                </c:pt>
                <c:pt idx="10">
                  <c:v>177</c:v>
                </c:pt>
                <c:pt idx="11">
                  <c:v>226</c:v>
                </c:pt>
                <c:pt idx="12">
                  <c:v>271</c:v>
                </c:pt>
                <c:pt idx="13">
                  <c:v>311</c:v>
                </c:pt>
                <c:pt idx="14">
                  <c:v>348</c:v>
                </c:pt>
                <c:pt idx="15">
                  <c:v>381.5</c:v>
                </c:pt>
                <c:pt idx="16">
                  <c:v>409.125</c:v>
                </c:pt>
                <c:pt idx="17">
                  <c:v>447.5</c:v>
                </c:pt>
                <c:pt idx="18">
                  <c:v>474.75</c:v>
                </c:pt>
                <c:pt idx="19">
                  <c:v>493.5</c:v>
                </c:pt>
                <c:pt idx="20">
                  <c:v>506</c:v>
                </c:pt>
                <c:pt idx="21">
                  <c:v>513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FE0-4438-B3B3-509622920568}"/>
            </c:ext>
          </c:extLst>
        </c:ser>
        <c:ser>
          <c:idx val="5"/>
          <c:order val="5"/>
          <c:tx>
            <c:strRef>
              <c:f>centreholdrill2!$U$5</c:f>
              <c:strCache>
                <c:ptCount val="1"/>
                <c:pt idx="0">
                  <c:v>e3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centreholdrill2!$O$6:$O$27</c:f>
              <c:numCache>
                <c:formatCode>0</c:formatCode>
                <c:ptCount val="22"/>
                <c:pt idx="0">
                  <c:v>16.027000000000001</c:v>
                </c:pt>
                <c:pt idx="1">
                  <c:v>31.992000000000001</c:v>
                </c:pt>
                <c:pt idx="2">
                  <c:v>47.988</c:v>
                </c:pt>
                <c:pt idx="3">
                  <c:v>63.984000000000002</c:v>
                </c:pt>
                <c:pt idx="4">
                  <c:v>79.98</c:v>
                </c:pt>
                <c:pt idx="5">
                  <c:v>95.975999999999999</c:v>
                </c:pt>
                <c:pt idx="6">
                  <c:v>127.968</c:v>
                </c:pt>
                <c:pt idx="7">
                  <c:v>159.96</c:v>
                </c:pt>
                <c:pt idx="8">
                  <c:v>191.952</c:v>
                </c:pt>
                <c:pt idx="9">
                  <c:v>223.94400000000002</c:v>
                </c:pt>
                <c:pt idx="10">
                  <c:v>255.93600000000001</c:v>
                </c:pt>
                <c:pt idx="11">
                  <c:v>319.92</c:v>
                </c:pt>
                <c:pt idx="12">
                  <c:v>383.904</c:v>
                </c:pt>
                <c:pt idx="13">
                  <c:v>447.88800000000003</c:v>
                </c:pt>
                <c:pt idx="14">
                  <c:v>511.87200000000001</c:v>
                </c:pt>
                <c:pt idx="15">
                  <c:v>575.85599999999999</c:v>
                </c:pt>
                <c:pt idx="16">
                  <c:v>639.84</c:v>
                </c:pt>
                <c:pt idx="17">
                  <c:v>768.10559999999998</c:v>
                </c:pt>
                <c:pt idx="18">
                  <c:v>896.1232</c:v>
                </c:pt>
                <c:pt idx="19">
                  <c:v>1024.1407999999999</c:v>
                </c:pt>
                <c:pt idx="20">
                  <c:v>1152.1584</c:v>
                </c:pt>
                <c:pt idx="21">
                  <c:v>1280.1759999999999</c:v>
                </c:pt>
              </c:numCache>
            </c:numRef>
          </c:xVal>
          <c:yVal>
            <c:numRef>
              <c:f>centreholdrill2!$U$6:$U$27</c:f>
              <c:numCache>
                <c:formatCode>0</c:formatCode>
                <c:ptCount val="22"/>
                <c:pt idx="0">
                  <c:v>9.5</c:v>
                </c:pt>
                <c:pt idx="1">
                  <c:v>20.25</c:v>
                </c:pt>
                <c:pt idx="2">
                  <c:v>32</c:v>
                </c:pt>
                <c:pt idx="3">
                  <c:v>44.25</c:v>
                </c:pt>
                <c:pt idx="4">
                  <c:v>57.5</c:v>
                </c:pt>
                <c:pt idx="5">
                  <c:v>71.375</c:v>
                </c:pt>
                <c:pt idx="6">
                  <c:v>97.75</c:v>
                </c:pt>
                <c:pt idx="7">
                  <c:v>125.25</c:v>
                </c:pt>
                <c:pt idx="8">
                  <c:v>154.25</c:v>
                </c:pt>
                <c:pt idx="9">
                  <c:v>182.5</c:v>
                </c:pt>
                <c:pt idx="10">
                  <c:v>208.75</c:v>
                </c:pt>
                <c:pt idx="11">
                  <c:v>261.75</c:v>
                </c:pt>
                <c:pt idx="12">
                  <c:v>313.75</c:v>
                </c:pt>
                <c:pt idx="13">
                  <c:v>360</c:v>
                </c:pt>
                <c:pt idx="14">
                  <c:v>398.75</c:v>
                </c:pt>
                <c:pt idx="15">
                  <c:v>433.5</c:v>
                </c:pt>
                <c:pt idx="16">
                  <c:v>464.125</c:v>
                </c:pt>
                <c:pt idx="17">
                  <c:v>506.5</c:v>
                </c:pt>
                <c:pt idx="18">
                  <c:v>536.5</c:v>
                </c:pt>
                <c:pt idx="19">
                  <c:v>557</c:v>
                </c:pt>
                <c:pt idx="20">
                  <c:v>571.25</c:v>
                </c:pt>
                <c:pt idx="21">
                  <c:v>579.33333333333326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FE0-4438-B3B3-5096229205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722864"/>
        <c:axId val="1"/>
      </c:scatterChart>
      <c:valAx>
        <c:axId val="5607228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0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Hole Depth  </a:t>
                </a:r>
                <a:r>
                  <a:rPr lang="en-GB" sz="10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m</a:t>
                </a:r>
                <a:r>
                  <a:rPr lang="en-GB" sz="10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</a:t>
                </a:r>
              </a:p>
            </c:rich>
          </c:tx>
          <c:layout>
            <c:manualLayout>
              <c:xMode val="edge"/>
              <c:yMode val="edge"/>
              <c:x val="0.40113112979521626"/>
              <c:y val="0.937065139584824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0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Relaxed Strain  </a:t>
                </a:r>
                <a:r>
                  <a:rPr lang="en-GB" sz="10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me</a:t>
                </a:r>
                <a:endParaRPr lang="en-GB" sz="1000" b="0" i="0" u="none" strike="noStrike" baseline="0">
                  <a:solidFill>
                    <a:srgbClr val="000000"/>
                  </a:solidFill>
                  <a:latin typeface="Symbol"/>
                </a:endParaRPr>
              </a:p>
            </c:rich>
          </c:tx>
          <c:layout>
            <c:manualLayout>
              <c:xMode val="edge"/>
              <c:yMode val="edge"/>
              <c:x val="1.4124293785310734E-2"/>
              <c:y val="0.3636370978103261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60722864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9661105921081898"/>
          <c:y val="0.65035111869757545"/>
          <c:w val="0.18079155359817312"/>
          <c:h val="0.2331007225495413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verticalDpi="96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580336832895888"/>
          <c:y val="0.10648148148148148"/>
          <c:w val="0.79830774278215222"/>
          <c:h val="0.7721988918051909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centreholedrill!$D$10</c:f>
              <c:strCache>
                <c:ptCount val="1"/>
                <c:pt idx="0">
                  <c:v>AB_Hole 1_s1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centreholedrill!$A$13:$A$32</c:f>
              <c:numCache>
                <c:formatCode>General</c:formatCode>
                <c:ptCount val="20"/>
                <c:pt idx="0">
                  <c:v>8</c:v>
                </c:pt>
                <c:pt idx="1">
                  <c:v>24</c:v>
                </c:pt>
                <c:pt idx="2">
                  <c:v>40</c:v>
                </c:pt>
                <c:pt idx="3">
                  <c:v>56</c:v>
                </c:pt>
                <c:pt idx="4">
                  <c:v>72</c:v>
                </c:pt>
                <c:pt idx="5">
                  <c:v>88</c:v>
                </c:pt>
                <c:pt idx="6">
                  <c:v>112</c:v>
                </c:pt>
                <c:pt idx="7">
                  <c:v>144</c:v>
                </c:pt>
                <c:pt idx="8">
                  <c:v>176</c:v>
                </c:pt>
                <c:pt idx="9">
                  <c:v>208</c:v>
                </c:pt>
                <c:pt idx="10">
                  <c:v>240</c:v>
                </c:pt>
                <c:pt idx="11">
                  <c:v>288</c:v>
                </c:pt>
                <c:pt idx="12">
                  <c:v>352</c:v>
                </c:pt>
                <c:pt idx="13">
                  <c:v>448</c:v>
                </c:pt>
                <c:pt idx="14">
                  <c:v>512</c:v>
                </c:pt>
                <c:pt idx="15">
                  <c:v>576</c:v>
                </c:pt>
                <c:pt idx="16">
                  <c:v>640</c:v>
                </c:pt>
                <c:pt idx="17">
                  <c:v>768</c:v>
                </c:pt>
                <c:pt idx="18">
                  <c:v>896</c:v>
                </c:pt>
                <c:pt idx="19">
                  <c:v>1024</c:v>
                </c:pt>
              </c:numCache>
            </c:numRef>
          </c:xVal>
          <c:yVal>
            <c:numRef>
              <c:f>centreholedrill!$D$13:$D$32</c:f>
              <c:numCache>
                <c:formatCode>General</c:formatCode>
                <c:ptCount val="20"/>
                <c:pt idx="0">
                  <c:v>-65.664922748466552</c:v>
                </c:pt>
                <c:pt idx="1">
                  <c:v>-205.02940414169365</c:v>
                </c:pt>
                <c:pt idx="2">
                  <c:v>-296.34809108424668</c:v>
                </c:pt>
                <c:pt idx="3">
                  <c:v>-307.35425641568798</c:v>
                </c:pt>
                <c:pt idx="4">
                  <c:v>-297.06077483537791</c:v>
                </c:pt>
                <c:pt idx="5">
                  <c:v>-292.946151764587</c:v>
                </c:pt>
                <c:pt idx="6">
                  <c:v>-286.02285221703158</c:v>
                </c:pt>
                <c:pt idx="7">
                  <c:v>-270.11480730717795</c:v>
                </c:pt>
                <c:pt idx="8">
                  <c:v>-261.52695824893766</c:v>
                </c:pt>
                <c:pt idx="9">
                  <c:v>-251.96132781748824</c:v>
                </c:pt>
                <c:pt idx="10">
                  <c:v>-242.84499315844656</c:v>
                </c:pt>
                <c:pt idx="11">
                  <c:v>-227.05946903175644</c:v>
                </c:pt>
                <c:pt idx="12">
                  <c:v>-213.43858851760507</c:v>
                </c:pt>
                <c:pt idx="13">
                  <c:v>-182.7864946437216</c:v>
                </c:pt>
                <c:pt idx="14">
                  <c:v>-153.14565147248558</c:v>
                </c:pt>
                <c:pt idx="15">
                  <c:v>-138.32522988686759</c:v>
                </c:pt>
                <c:pt idx="16">
                  <c:v>-123.50480830124962</c:v>
                </c:pt>
                <c:pt idx="17">
                  <c:v>-95.273401481208253</c:v>
                </c:pt>
                <c:pt idx="18">
                  <c:v>-81.157698071187582</c:v>
                </c:pt>
                <c:pt idx="19">
                  <c:v>-67.041994661166896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8E1-46D5-934E-B5100FA87E70}"/>
            </c:ext>
          </c:extLst>
        </c:ser>
        <c:ser>
          <c:idx val="1"/>
          <c:order val="1"/>
          <c:tx>
            <c:strRef>
              <c:f>centreholedrill!$E$10</c:f>
              <c:strCache>
                <c:ptCount val="1"/>
                <c:pt idx="0">
                  <c:v>AB_Hole 1_s3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centreholedrill!$A$13:$A$32</c:f>
              <c:numCache>
                <c:formatCode>General</c:formatCode>
                <c:ptCount val="20"/>
                <c:pt idx="0">
                  <c:v>8</c:v>
                </c:pt>
                <c:pt idx="1">
                  <c:v>24</c:v>
                </c:pt>
                <c:pt idx="2">
                  <c:v>40</c:v>
                </c:pt>
                <c:pt idx="3">
                  <c:v>56</c:v>
                </c:pt>
                <c:pt idx="4">
                  <c:v>72</c:v>
                </c:pt>
                <c:pt idx="5">
                  <c:v>88</c:v>
                </c:pt>
                <c:pt idx="6">
                  <c:v>112</c:v>
                </c:pt>
                <c:pt idx="7">
                  <c:v>144</c:v>
                </c:pt>
                <c:pt idx="8">
                  <c:v>176</c:v>
                </c:pt>
                <c:pt idx="9">
                  <c:v>208</c:v>
                </c:pt>
                <c:pt idx="10">
                  <c:v>240</c:v>
                </c:pt>
                <c:pt idx="11">
                  <c:v>288</c:v>
                </c:pt>
                <c:pt idx="12">
                  <c:v>352</c:v>
                </c:pt>
                <c:pt idx="13">
                  <c:v>448</c:v>
                </c:pt>
                <c:pt idx="14">
                  <c:v>512</c:v>
                </c:pt>
                <c:pt idx="15">
                  <c:v>576</c:v>
                </c:pt>
                <c:pt idx="16">
                  <c:v>640</c:v>
                </c:pt>
                <c:pt idx="17">
                  <c:v>768</c:v>
                </c:pt>
                <c:pt idx="18">
                  <c:v>896</c:v>
                </c:pt>
                <c:pt idx="19">
                  <c:v>1024</c:v>
                </c:pt>
              </c:numCache>
            </c:numRef>
          </c:xVal>
          <c:yVal>
            <c:numRef>
              <c:f>centreholedrill!$E$13:$E$32</c:f>
              <c:numCache>
                <c:formatCode>General</c:formatCode>
                <c:ptCount val="20"/>
                <c:pt idx="0">
                  <c:v>-60.28677695401214</c:v>
                </c:pt>
                <c:pt idx="1">
                  <c:v>-183.97543273840722</c:v>
                </c:pt>
                <c:pt idx="2">
                  <c:v>-265.86443517578698</c:v>
                </c:pt>
                <c:pt idx="3">
                  <c:v>-283.64432347136909</c:v>
                </c:pt>
                <c:pt idx="4">
                  <c:v>-274.55738230215326</c:v>
                </c:pt>
                <c:pt idx="5">
                  <c:v>-261.38170793760406</c:v>
                </c:pt>
                <c:pt idx="6">
                  <c:v>-254.29968294468719</c:v>
                </c:pt>
                <c:pt idx="7">
                  <c:v>-246.23996681772391</c:v>
                </c:pt>
                <c:pt idx="8">
                  <c:v>-246.97997818783895</c:v>
                </c:pt>
                <c:pt idx="9">
                  <c:v>-245.7093788977601</c:v>
                </c:pt>
                <c:pt idx="10">
                  <c:v>-239.43265899480375</c:v>
                </c:pt>
                <c:pt idx="11">
                  <c:v>-227.27390653357051</c:v>
                </c:pt>
                <c:pt idx="12">
                  <c:v>-217.69518172818749</c:v>
                </c:pt>
                <c:pt idx="13">
                  <c:v>-197.2549552340439</c:v>
                </c:pt>
                <c:pt idx="14">
                  <c:v>-169.15031563667972</c:v>
                </c:pt>
                <c:pt idx="15">
                  <c:v>-155.09799583799764</c:v>
                </c:pt>
                <c:pt idx="16">
                  <c:v>-141.04567603931554</c:v>
                </c:pt>
                <c:pt idx="17">
                  <c:v>-111.50118975097647</c:v>
                </c:pt>
                <c:pt idx="18">
                  <c:v>-96.728946606806915</c:v>
                </c:pt>
                <c:pt idx="19">
                  <c:v>-81.956703462637378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8E1-46D5-934E-B5100FA87E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2680504"/>
        <c:axId val="452680176"/>
      </c:scatterChart>
      <c:valAx>
        <c:axId val="4526805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Depth [µm]</a:t>
                </a:r>
              </a:p>
            </c:rich>
          </c:tx>
          <c:layout>
            <c:manualLayout>
              <c:xMode val="edge"/>
              <c:yMode val="edge"/>
              <c:x val="0.47153368328958878"/>
              <c:y val="2.682852143482066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680176"/>
        <c:crosses val="autoZero"/>
        <c:crossBetween val="midCat"/>
      </c:valAx>
      <c:valAx>
        <c:axId val="45268017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Residual Stress [MPa]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680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580336832895888"/>
          <c:y val="0.10648148148148148"/>
          <c:w val="0.79830774278215222"/>
          <c:h val="0.7721988918051909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centreholedrill!$K$10</c:f>
              <c:strCache>
                <c:ptCount val="1"/>
                <c:pt idx="0">
                  <c:v>AB_Hole 2_s1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centreholedrill!$H$13:$H$32</c:f>
              <c:numCache>
                <c:formatCode>General</c:formatCode>
                <c:ptCount val="20"/>
                <c:pt idx="0">
                  <c:v>8</c:v>
                </c:pt>
                <c:pt idx="1">
                  <c:v>24</c:v>
                </c:pt>
                <c:pt idx="2">
                  <c:v>40</c:v>
                </c:pt>
                <c:pt idx="3">
                  <c:v>56</c:v>
                </c:pt>
                <c:pt idx="4">
                  <c:v>72</c:v>
                </c:pt>
                <c:pt idx="5">
                  <c:v>88</c:v>
                </c:pt>
                <c:pt idx="6">
                  <c:v>112</c:v>
                </c:pt>
                <c:pt idx="7">
                  <c:v>144</c:v>
                </c:pt>
                <c:pt idx="8">
                  <c:v>176</c:v>
                </c:pt>
                <c:pt idx="9">
                  <c:v>208</c:v>
                </c:pt>
                <c:pt idx="10">
                  <c:v>240</c:v>
                </c:pt>
                <c:pt idx="11">
                  <c:v>288</c:v>
                </c:pt>
                <c:pt idx="12">
                  <c:v>352</c:v>
                </c:pt>
                <c:pt idx="13">
                  <c:v>448</c:v>
                </c:pt>
                <c:pt idx="14">
                  <c:v>512</c:v>
                </c:pt>
                <c:pt idx="15">
                  <c:v>576</c:v>
                </c:pt>
                <c:pt idx="16">
                  <c:v>640</c:v>
                </c:pt>
                <c:pt idx="17">
                  <c:v>768</c:v>
                </c:pt>
                <c:pt idx="18">
                  <c:v>896</c:v>
                </c:pt>
                <c:pt idx="19">
                  <c:v>1024</c:v>
                </c:pt>
              </c:numCache>
            </c:numRef>
          </c:xVal>
          <c:yVal>
            <c:numRef>
              <c:f>centreholedrill!$K$13:$K$32</c:f>
              <c:numCache>
                <c:formatCode>General</c:formatCode>
                <c:ptCount val="20"/>
                <c:pt idx="0">
                  <c:v>-185.27607707958822</c:v>
                </c:pt>
                <c:pt idx="1">
                  <c:v>-250.07592809430105</c:v>
                </c:pt>
                <c:pt idx="2">
                  <c:v>-293.54847535238463</c:v>
                </c:pt>
                <c:pt idx="3">
                  <c:v>-295.87331468989788</c:v>
                </c:pt>
                <c:pt idx="4">
                  <c:v>-287.95551679324797</c:v>
                </c:pt>
                <c:pt idx="5">
                  <c:v>-289.75353977843554</c:v>
                </c:pt>
                <c:pt idx="6">
                  <c:v>-291.38043775493384</c:v>
                </c:pt>
                <c:pt idx="7">
                  <c:v>-270.25334379560286</c:v>
                </c:pt>
                <c:pt idx="8">
                  <c:v>-252.58866899256785</c:v>
                </c:pt>
                <c:pt idx="9">
                  <c:v>-240.30824804091614</c:v>
                </c:pt>
                <c:pt idx="10">
                  <c:v>-231.15374146035305</c:v>
                </c:pt>
                <c:pt idx="11">
                  <c:v>-215.65322568821546</c:v>
                </c:pt>
                <c:pt idx="12">
                  <c:v>-197.48244939618047</c:v>
                </c:pt>
                <c:pt idx="13">
                  <c:v>-171.39439632849582</c:v>
                </c:pt>
                <c:pt idx="14">
                  <c:v>-142.60667032475175</c:v>
                </c:pt>
                <c:pt idx="15">
                  <c:v>-128.21280732287971</c:v>
                </c:pt>
                <c:pt idx="16">
                  <c:v>-113.81894432100765</c:v>
                </c:pt>
                <c:pt idx="17">
                  <c:v>-83.563891310157388</c:v>
                </c:pt>
                <c:pt idx="18">
                  <c:v>-68.43636480473225</c:v>
                </c:pt>
                <c:pt idx="19">
                  <c:v>-53.308838299307105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8F5-4678-BDC2-69B679D2423F}"/>
            </c:ext>
          </c:extLst>
        </c:ser>
        <c:ser>
          <c:idx val="1"/>
          <c:order val="1"/>
          <c:tx>
            <c:strRef>
              <c:f>centreholedrill!$L$10</c:f>
              <c:strCache>
                <c:ptCount val="1"/>
                <c:pt idx="0">
                  <c:v>AB_Hole 2_s3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centreholedrill!$H$13:$H$32</c:f>
              <c:numCache>
                <c:formatCode>General</c:formatCode>
                <c:ptCount val="20"/>
                <c:pt idx="0">
                  <c:v>8</c:v>
                </c:pt>
                <c:pt idx="1">
                  <c:v>24</c:v>
                </c:pt>
                <c:pt idx="2">
                  <c:v>40</c:v>
                </c:pt>
                <c:pt idx="3">
                  <c:v>56</c:v>
                </c:pt>
                <c:pt idx="4">
                  <c:v>72</c:v>
                </c:pt>
                <c:pt idx="5">
                  <c:v>88</c:v>
                </c:pt>
                <c:pt idx="6">
                  <c:v>112</c:v>
                </c:pt>
                <c:pt idx="7">
                  <c:v>144</c:v>
                </c:pt>
                <c:pt idx="8">
                  <c:v>176</c:v>
                </c:pt>
                <c:pt idx="9">
                  <c:v>208</c:v>
                </c:pt>
                <c:pt idx="10">
                  <c:v>240</c:v>
                </c:pt>
                <c:pt idx="11">
                  <c:v>288</c:v>
                </c:pt>
                <c:pt idx="12">
                  <c:v>352</c:v>
                </c:pt>
                <c:pt idx="13">
                  <c:v>448</c:v>
                </c:pt>
                <c:pt idx="14">
                  <c:v>512</c:v>
                </c:pt>
                <c:pt idx="15">
                  <c:v>576</c:v>
                </c:pt>
                <c:pt idx="16">
                  <c:v>640</c:v>
                </c:pt>
                <c:pt idx="17">
                  <c:v>768</c:v>
                </c:pt>
                <c:pt idx="18">
                  <c:v>896</c:v>
                </c:pt>
                <c:pt idx="19">
                  <c:v>1024</c:v>
                </c:pt>
              </c:numCache>
            </c:numRef>
          </c:xVal>
          <c:yVal>
            <c:numRef>
              <c:f>centreholedrill!$L$13:$L$32</c:f>
              <c:numCache>
                <c:formatCode>General</c:formatCode>
                <c:ptCount val="20"/>
                <c:pt idx="0">
                  <c:v>-144.50271210732609</c:v>
                </c:pt>
                <c:pt idx="1">
                  <c:v>-201.37690320055123</c:v>
                </c:pt>
                <c:pt idx="2">
                  <c:v>-232.43502017721556</c:v>
                </c:pt>
                <c:pt idx="3">
                  <c:v>-237.92625208715134</c:v>
                </c:pt>
                <c:pt idx="4">
                  <c:v>-237.86366289825764</c:v>
                </c:pt>
                <c:pt idx="5">
                  <c:v>-242.20348283681798</c:v>
                </c:pt>
                <c:pt idx="6">
                  <c:v>-249.65850966831988</c:v>
                </c:pt>
                <c:pt idx="7">
                  <c:v>-241.69195157481869</c:v>
                </c:pt>
                <c:pt idx="8">
                  <c:v>-237.93971042175647</c:v>
                </c:pt>
                <c:pt idx="9">
                  <c:v>-231.41779007024681</c:v>
                </c:pt>
                <c:pt idx="10">
                  <c:v>-225.23153163168985</c:v>
                </c:pt>
                <c:pt idx="11">
                  <c:v>-215.14654102993325</c:v>
                </c:pt>
                <c:pt idx="12">
                  <c:v>-204.25176702337819</c:v>
                </c:pt>
                <c:pt idx="13">
                  <c:v>-177.14757205427662</c:v>
                </c:pt>
                <c:pt idx="14">
                  <c:v>-147.7059916105116</c:v>
                </c:pt>
                <c:pt idx="15">
                  <c:v>-132.98520138862909</c:v>
                </c:pt>
                <c:pt idx="16">
                  <c:v>-118.26441116674658</c:v>
                </c:pt>
                <c:pt idx="17">
                  <c:v>-88.191608437912336</c:v>
                </c:pt>
                <c:pt idx="18">
                  <c:v>-73.155207073495205</c:v>
                </c:pt>
                <c:pt idx="19">
                  <c:v>-58.118805709078082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8F5-4678-BDC2-69B679D242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2680504"/>
        <c:axId val="452680176"/>
      </c:scatterChart>
      <c:valAx>
        <c:axId val="4526805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Depth [µm]</a:t>
                </a:r>
              </a:p>
            </c:rich>
          </c:tx>
          <c:layout>
            <c:manualLayout>
              <c:xMode val="edge"/>
              <c:yMode val="edge"/>
              <c:x val="0.47153368328958878"/>
              <c:y val="2.682852143482066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680176"/>
        <c:crosses val="autoZero"/>
        <c:crossBetween val="midCat"/>
      </c:valAx>
      <c:valAx>
        <c:axId val="45268017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Residual Stress [MPa]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680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GB" b="0"/>
              <a:t>With Ablative Coating</a:t>
            </a:r>
          </a:p>
        </c:rich>
      </c:tx>
      <c:layout>
        <c:manualLayout>
          <c:xMode val="edge"/>
          <c:yMode val="edge"/>
          <c:x val="0.2719484990374538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580336832895888"/>
          <c:y val="0.19923502582373642"/>
          <c:w val="0.79830774278215222"/>
          <c:h val="0.67944514570965675"/>
        </c:manualLayout>
      </c:layout>
      <c:scatterChart>
        <c:scatterStyle val="smoothMarker"/>
        <c:varyColors val="0"/>
        <c:ser>
          <c:idx val="2"/>
          <c:order val="0"/>
          <c:tx>
            <c:strRef>
              <c:f>centreholedrill!$D$10</c:f>
              <c:strCache>
                <c:ptCount val="1"/>
                <c:pt idx="0">
                  <c:v>AB_Hole 1_s1</c:v>
                </c:pt>
              </c:strCache>
            </c:strRef>
          </c:tx>
          <c:xVal>
            <c:numRef>
              <c:f>centreholedrill!$A$13:$A$32</c:f>
              <c:numCache>
                <c:formatCode>General</c:formatCode>
                <c:ptCount val="20"/>
                <c:pt idx="0">
                  <c:v>8</c:v>
                </c:pt>
                <c:pt idx="1">
                  <c:v>24</c:v>
                </c:pt>
                <c:pt idx="2">
                  <c:v>40</c:v>
                </c:pt>
                <c:pt idx="3">
                  <c:v>56</c:v>
                </c:pt>
                <c:pt idx="4">
                  <c:v>72</c:v>
                </c:pt>
                <c:pt idx="5">
                  <c:v>88</c:v>
                </c:pt>
                <c:pt idx="6">
                  <c:v>112</c:v>
                </c:pt>
                <c:pt idx="7">
                  <c:v>144</c:v>
                </c:pt>
                <c:pt idx="8">
                  <c:v>176</c:v>
                </c:pt>
                <c:pt idx="9">
                  <c:v>208</c:v>
                </c:pt>
                <c:pt idx="10">
                  <c:v>240</c:v>
                </c:pt>
                <c:pt idx="11">
                  <c:v>288</c:v>
                </c:pt>
                <c:pt idx="12">
                  <c:v>352</c:v>
                </c:pt>
                <c:pt idx="13">
                  <c:v>448</c:v>
                </c:pt>
                <c:pt idx="14">
                  <c:v>512</c:v>
                </c:pt>
                <c:pt idx="15">
                  <c:v>576</c:v>
                </c:pt>
                <c:pt idx="16">
                  <c:v>640</c:v>
                </c:pt>
                <c:pt idx="17">
                  <c:v>768</c:v>
                </c:pt>
                <c:pt idx="18">
                  <c:v>896</c:v>
                </c:pt>
                <c:pt idx="19">
                  <c:v>1024</c:v>
                </c:pt>
              </c:numCache>
            </c:numRef>
          </c:xVal>
          <c:yVal>
            <c:numRef>
              <c:f>centreholedrill!$D$13:$D$32</c:f>
              <c:numCache>
                <c:formatCode>General</c:formatCode>
                <c:ptCount val="20"/>
                <c:pt idx="0">
                  <c:v>-65.664922748466552</c:v>
                </c:pt>
                <c:pt idx="1">
                  <c:v>-205.02940414169365</c:v>
                </c:pt>
                <c:pt idx="2">
                  <c:v>-296.34809108424668</c:v>
                </c:pt>
                <c:pt idx="3">
                  <c:v>-307.35425641568798</c:v>
                </c:pt>
                <c:pt idx="4">
                  <c:v>-297.06077483537791</c:v>
                </c:pt>
                <c:pt idx="5">
                  <c:v>-292.946151764587</c:v>
                </c:pt>
                <c:pt idx="6">
                  <c:v>-286.02285221703158</c:v>
                </c:pt>
                <c:pt idx="7">
                  <c:v>-270.11480730717795</c:v>
                </c:pt>
                <c:pt idx="8">
                  <c:v>-261.52695824893766</c:v>
                </c:pt>
                <c:pt idx="9">
                  <c:v>-251.96132781748824</c:v>
                </c:pt>
                <c:pt idx="10">
                  <c:v>-242.84499315844656</c:v>
                </c:pt>
                <c:pt idx="11">
                  <c:v>-227.05946903175644</c:v>
                </c:pt>
                <c:pt idx="12">
                  <c:v>-213.43858851760507</c:v>
                </c:pt>
                <c:pt idx="13">
                  <c:v>-182.7864946437216</c:v>
                </c:pt>
                <c:pt idx="14">
                  <c:v>-153.14565147248558</c:v>
                </c:pt>
                <c:pt idx="15">
                  <c:v>-138.32522988686759</c:v>
                </c:pt>
                <c:pt idx="16">
                  <c:v>-123.50480830124962</c:v>
                </c:pt>
                <c:pt idx="17">
                  <c:v>-95.273401481208253</c:v>
                </c:pt>
                <c:pt idx="18">
                  <c:v>-81.157698071187582</c:v>
                </c:pt>
                <c:pt idx="19">
                  <c:v>-67.041994661166896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92B-4D19-9279-381903CECD8B}"/>
            </c:ext>
          </c:extLst>
        </c:ser>
        <c:ser>
          <c:idx val="3"/>
          <c:order val="1"/>
          <c:tx>
            <c:strRef>
              <c:f>centreholedrill!$E$10</c:f>
              <c:strCache>
                <c:ptCount val="1"/>
                <c:pt idx="0">
                  <c:v>AB_Hole 1_s3</c:v>
                </c:pt>
              </c:strCache>
            </c:strRef>
          </c:tx>
          <c:xVal>
            <c:numRef>
              <c:f>centreholedrill!$A$13:$A$32</c:f>
              <c:numCache>
                <c:formatCode>General</c:formatCode>
                <c:ptCount val="20"/>
                <c:pt idx="0">
                  <c:v>8</c:v>
                </c:pt>
                <c:pt idx="1">
                  <c:v>24</c:v>
                </c:pt>
                <c:pt idx="2">
                  <c:v>40</c:v>
                </c:pt>
                <c:pt idx="3">
                  <c:v>56</c:v>
                </c:pt>
                <c:pt idx="4">
                  <c:v>72</c:v>
                </c:pt>
                <c:pt idx="5">
                  <c:v>88</c:v>
                </c:pt>
                <c:pt idx="6">
                  <c:v>112</c:v>
                </c:pt>
                <c:pt idx="7">
                  <c:v>144</c:v>
                </c:pt>
                <c:pt idx="8">
                  <c:v>176</c:v>
                </c:pt>
                <c:pt idx="9">
                  <c:v>208</c:v>
                </c:pt>
                <c:pt idx="10">
                  <c:v>240</c:v>
                </c:pt>
                <c:pt idx="11">
                  <c:v>288</c:v>
                </c:pt>
                <c:pt idx="12">
                  <c:v>352</c:v>
                </c:pt>
                <c:pt idx="13">
                  <c:v>448</c:v>
                </c:pt>
                <c:pt idx="14">
                  <c:v>512</c:v>
                </c:pt>
                <c:pt idx="15">
                  <c:v>576</c:v>
                </c:pt>
                <c:pt idx="16">
                  <c:v>640</c:v>
                </c:pt>
                <c:pt idx="17">
                  <c:v>768</c:v>
                </c:pt>
                <c:pt idx="18">
                  <c:v>896</c:v>
                </c:pt>
                <c:pt idx="19">
                  <c:v>1024</c:v>
                </c:pt>
              </c:numCache>
            </c:numRef>
          </c:xVal>
          <c:yVal>
            <c:numRef>
              <c:f>centreholedrill!$E$13:$E$32</c:f>
              <c:numCache>
                <c:formatCode>General</c:formatCode>
                <c:ptCount val="20"/>
                <c:pt idx="0">
                  <c:v>-60.28677695401214</c:v>
                </c:pt>
                <c:pt idx="1">
                  <c:v>-183.97543273840722</c:v>
                </c:pt>
                <c:pt idx="2">
                  <c:v>-265.86443517578698</c:v>
                </c:pt>
                <c:pt idx="3">
                  <c:v>-283.64432347136909</c:v>
                </c:pt>
                <c:pt idx="4">
                  <c:v>-274.55738230215326</c:v>
                </c:pt>
                <c:pt idx="5">
                  <c:v>-261.38170793760406</c:v>
                </c:pt>
                <c:pt idx="6">
                  <c:v>-254.29968294468719</c:v>
                </c:pt>
                <c:pt idx="7">
                  <c:v>-246.23996681772391</c:v>
                </c:pt>
                <c:pt idx="8">
                  <c:v>-246.97997818783895</c:v>
                </c:pt>
                <c:pt idx="9">
                  <c:v>-245.7093788977601</c:v>
                </c:pt>
                <c:pt idx="10">
                  <c:v>-239.43265899480375</c:v>
                </c:pt>
                <c:pt idx="11">
                  <c:v>-227.27390653357051</c:v>
                </c:pt>
                <c:pt idx="12">
                  <c:v>-217.69518172818749</c:v>
                </c:pt>
                <c:pt idx="13">
                  <c:v>-197.2549552340439</c:v>
                </c:pt>
                <c:pt idx="14">
                  <c:v>-169.15031563667972</c:v>
                </c:pt>
                <c:pt idx="15">
                  <c:v>-155.09799583799764</c:v>
                </c:pt>
                <c:pt idx="16">
                  <c:v>-141.04567603931554</c:v>
                </c:pt>
                <c:pt idx="17">
                  <c:v>-111.50118975097647</c:v>
                </c:pt>
                <c:pt idx="18">
                  <c:v>-96.728946606806915</c:v>
                </c:pt>
                <c:pt idx="19">
                  <c:v>-81.956703462637378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92B-4D19-9279-381903CECD8B}"/>
            </c:ext>
          </c:extLst>
        </c:ser>
        <c:ser>
          <c:idx val="0"/>
          <c:order val="2"/>
          <c:tx>
            <c:strRef>
              <c:f>centreholedrill!$K$10</c:f>
              <c:strCache>
                <c:ptCount val="1"/>
                <c:pt idx="0">
                  <c:v>AB_Hole 2_s1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centreholedrill!$H$13:$H$32</c:f>
              <c:numCache>
                <c:formatCode>General</c:formatCode>
                <c:ptCount val="20"/>
                <c:pt idx="0">
                  <c:v>8</c:v>
                </c:pt>
                <c:pt idx="1">
                  <c:v>24</c:v>
                </c:pt>
                <c:pt idx="2">
                  <c:v>40</c:v>
                </c:pt>
                <c:pt idx="3">
                  <c:v>56</c:v>
                </c:pt>
                <c:pt idx="4">
                  <c:v>72</c:v>
                </c:pt>
                <c:pt idx="5">
                  <c:v>88</c:v>
                </c:pt>
                <c:pt idx="6">
                  <c:v>112</c:v>
                </c:pt>
                <c:pt idx="7">
                  <c:v>144</c:v>
                </c:pt>
                <c:pt idx="8">
                  <c:v>176</c:v>
                </c:pt>
                <c:pt idx="9">
                  <c:v>208</c:v>
                </c:pt>
                <c:pt idx="10">
                  <c:v>240</c:v>
                </c:pt>
                <c:pt idx="11">
                  <c:v>288</c:v>
                </c:pt>
                <c:pt idx="12">
                  <c:v>352</c:v>
                </c:pt>
                <c:pt idx="13">
                  <c:v>448</c:v>
                </c:pt>
                <c:pt idx="14">
                  <c:v>512</c:v>
                </c:pt>
                <c:pt idx="15">
                  <c:v>576</c:v>
                </c:pt>
                <c:pt idx="16">
                  <c:v>640</c:v>
                </c:pt>
                <c:pt idx="17">
                  <c:v>768</c:v>
                </c:pt>
                <c:pt idx="18">
                  <c:v>896</c:v>
                </c:pt>
                <c:pt idx="19">
                  <c:v>1024</c:v>
                </c:pt>
              </c:numCache>
            </c:numRef>
          </c:xVal>
          <c:yVal>
            <c:numRef>
              <c:f>centreholedrill!$K$13:$K$32</c:f>
              <c:numCache>
                <c:formatCode>General</c:formatCode>
                <c:ptCount val="20"/>
                <c:pt idx="0">
                  <c:v>-185.27607707958822</c:v>
                </c:pt>
                <c:pt idx="1">
                  <c:v>-250.07592809430105</c:v>
                </c:pt>
                <c:pt idx="2">
                  <c:v>-293.54847535238463</c:v>
                </c:pt>
                <c:pt idx="3">
                  <c:v>-295.87331468989788</c:v>
                </c:pt>
                <c:pt idx="4">
                  <c:v>-287.95551679324797</c:v>
                </c:pt>
                <c:pt idx="5">
                  <c:v>-289.75353977843554</c:v>
                </c:pt>
                <c:pt idx="6">
                  <c:v>-291.38043775493384</c:v>
                </c:pt>
                <c:pt idx="7">
                  <c:v>-270.25334379560286</c:v>
                </c:pt>
                <c:pt idx="8">
                  <c:v>-252.58866899256785</c:v>
                </c:pt>
                <c:pt idx="9">
                  <c:v>-240.30824804091614</c:v>
                </c:pt>
                <c:pt idx="10">
                  <c:v>-231.15374146035305</c:v>
                </c:pt>
                <c:pt idx="11">
                  <c:v>-215.65322568821546</c:v>
                </c:pt>
                <c:pt idx="12">
                  <c:v>-197.48244939618047</c:v>
                </c:pt>
                <c:pt idx="13">
                  <c:v>-171.39439632849582</c:v>
                </c:pt>
                <c:pt idx="14">
                  <c:v>-142.60667032475175</c:v>
                </c:pt>
                <c:pt idx="15">
                  <c:v>-128.21280732287971</c:v>
                </c:pt>
                <c:pt idx="16">
                  <c:v>-113.81894432100765</c:v>
                </c:pt>
                <c:pt idx="17">
                  <c:v>-83.563891310157388</c:v>
                </c:pt>
                <c:pt idx="18">
                  <c:v>-68.43636480473225</c:v>
                </c:pt>
                <c:pt idx="19">
                  <c:v>-53.308838299307105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92B-4D19-9279-381903CECD8B}"/>
            </c:ext>
          </c:extLst>
        </c:ser>
        <c:ser>
          <c:idx val="1"/>
          <c:order val="3"/>
          <c:tx>
            <c:strRef>
              <c:f>centreholedrill!$L$10</c:f>
              <c:strCache>
                <c:ptCount val="1"/>
                <c:pt idx="0">
                  <c:v>AB_Hole 2_s3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centreholedrill!$H$13:$H$32</c:f>
              <c:numCache>
                <c:formatCode>General</c:formatCode>
                <c:ptCount val="20"/>
                <c:pt idx="0">
                  <c:v>8</c:v>
                </c:pt>
                <c:pt idx="1">
                  <c:v>24</c:v>
                </c:pt>
                <c:pt idx="2">
                  <c:v>40</c:v>
                </c:pt>
                <c:pt idx="3">
                  <c:v>56</c:v>
                </c:pt>
                <c:pt idx="4">
                  <c:v>72</c:v>
                </c:pt>
                <c:pt idx="5">
                  <c:v>88</c:v>
                </c:pt>
                <c:pt idx="6">
                  <c:v>112</c:v>
                </c:pt>
                <c:pt idx="7">
                  <c:v>144</c:v>
                </c:pt>
                <c:pt idx="8">
                  <c:v>176</c:v>
                </c:pt>
                <c:pt idx="9">
                  <c:v>208</c:v>
                </c:pt>
                <c:pt idx="10">
                  <c:v>240</c:v>
                </c:pt>
                <c:pt idx="11">
                  <c:v>288</c:v>
                </c:pt>
                <c:pt idx="12">
                  <c:v>352</c:v>
                </c:pt>
                <c:pt idx="13">
                  <c:v>448</c:v>
                </c:pt>
                <c:pt idx="14">
                  <c:v>512</c:v>
                </c:pt>
                <c:pt idx="15">
                  <c:v>576</c:v>
                </c:pt>
                <c:pt idx="16">
                  <c:v>640</c:v>
                </c:pt>
                <c:pt idx="17">
                  <c:v>768</c:v>
                </c:pt>
                <c:pt idx="18">
                  <c:v>896</c:v>
                </c:pt>
                <c:pt idx="19">
                  <c:v>1024</c:v>
                </c:pt>
              </c:numCache>
            </c:numRef>
          </c:xVal>
          <c:yVal>
            <c:numRef>
              <c:f>centreholedrill!$L$13:$L$32</c:f>
              <c:numCache>
                <c:formatCode>General</c:formatCode>
                <c:ptCount val="20"/>
                <c:pt idx="0">
                  <c:v>-144.50271210732609</c:v>
                </c:pt>
                <c:pt idx="1">
                  <c:v>-201.37690320055123</c:v>
                </c:pt>
                <c:pt idx="2">
                  <c:v>-232.43502017721556</c:v>
                </c:pt>
                <c:pt idx="3">
                  <c:v>-237.92625208715134</c:v>
                </c:pt>
                <c:pt idx="4">
                  <c:v>-237.86366289825764</c:v>
                </c:pt>
                <c:pt idx="5">
                  <c:v>-242.20348283681798</c:v>
                </c:pt>
                <c:pt idx="6">
                  <c:v>-249.65850966831988</c:v>
                </c:pt>
                <c:pt idx="7">
                  <c:v>-241.69195157481869</c:v>
                </c:pt>
                <c:pt idx="8">
                  <c:v>-237.93971042175647</c:v>
                </c:pt>
                <c:pt idx="9">
                  <c:v>-231.41779007024681</c:v>
                </c:pt>
                <c:pt idx="10">
                  <c:v>-225.23153163168985</c:v>
                </c:pt>
                <c:pt idx="11">
                  <c:v>-215.14654102993325</c:v>
                </c:pt>
                <c:pt idx="12">
                  <c:v>-204.25176702337819</c:v>
                </c:pt>
                <c:pt idx="13">
                  <c:v>-177.14757205427662</c:v>
                </c:pt>
                <c:pt idx="14">
                  <c:v>-147.7059916105116</c:v>
                </c:pt>
                <c:pt idx="15">
                  <c:v>-132.98520138862909</c:v>
                </c:pt>
                <c:pt idx="16">
                  <c:v>-118.26441116674658</c:v>
                </c:pt>
                <c:pt idx="17">
                  <c:v>-88.191608437912336</c:v>
                </c:pt>
                <c:pt idx="18">
                  <c:v>-73.155207073495205</c:v>
                </c:pt>
                <c:pt idx="19">
                  <c:v>-58.118805709078082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92B-4D19-9279-381903CECD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2680504"/>
        <c:axId val="452680176"/>
      </c:scatterChart>
      <c:valAx>
        <c:axId val="4526805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Depth [µm]</a:t>
                </a:r>
              </a:p>
            </c:rich>
          </c:tx>
          <c:layout>
            <c:manualLayout>
              <c:xMode val="edge"/>
              <c:yMode val="edge"/>
              <c:x val="0.46831596320475205"/>
              <c:y val="0.1273116900031769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680176"/>
        <c:crosses val="autoZero"/>
        <c:crossBetween val="midCat"/>
      </c:valAx>
      <c:valAx>
        <c:axId val="45268017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Residual Stress [MPa]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680504"/>
        <c:crosses val="autoZero"/>
        <c:crossBetween val="midCat"/>
      </c:valAx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580322749886099"/>
          <c:y val="0.10648148148148148"/>
          <c:w val="0.79830774278215222"/>
          <c:h val="0.7721988918051909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centreholedrill!$S$10</c:f>
              <c:strCache>
                <c:ptCount val="1"/>
                <c:pt idx="0">
                  <c:v>NAB_Hole 1_s1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centreholedrill!$P$13:$P$32</c:f>
              <c:numCache>
                <c:formatCode>General</c:formatCode>
                <c:ptCount val="20"/>
                <c:pt idx="0">
                  <c:v>8</c:v>
                </c:pt>
                <c:pt idx="1">
                  <c:v>24</c:v>
                </c:pt>
                <c:pt idx="2">
                  <c:v>40</c:v>
                </c:pt>
                <c:pt idx="3">
                  <c:v>56</c:v>
                </c:pt>
                <c:pt idx="4">
                  <c:v>72</c:v>
                </c:pt>
                <c:pt idx="5">
                  <c:v>88</c:v>
                </c:pt>
                <c:pt idx="6">
                  <c:v>112</c:v>
                </c:pt>
                <c:pt idx="7">
                  <c:v>144</c:v>
                </c:pt>
                <c:pt idx="8">
                  <c:v>176</c:v>
                </c:pt>
                <c:pt idx="9">
                  <c:v>208</c:v>
                </c:pt>
                <c:pt idx="10">
                  <c:v>240</c:v>
                </c:pt>
                <c:pt idx="11">
                  <c:v>288</c:v>
                </c:pt>
                <c:pt idx="12">
                  <c:v>352</c:v>
                </c:pt>
                <c:pt idx="13">
                  <c:v>448</c:v>
                </c:pt>
                <c:pt idx="14">
                  <c:v>512</c:v>
                </c:pt>
                <c:pt idx="15">
                  <c:v>576</c:v>
                </c:pt>
                <c:pt idx="16">
                  <c:v>640</c:v>
                </c:pt>
                <c:pt idx="17">
                  <c:v>768</c:v>
                </c:pt>
                <c:pt idx="18">
                  <c:v>896</c:v>
                </c:pt>
                <c:pt idx="19">
                  <c:v>1024</c:v>
                </c:pt>
              </c:numCache>
            </c:numRef>
          </c:xVal>
          <c:yVal>
            <c:numRef>
              <c:f>centreholedrill!$S$13:$S$32</c:f>
              <c:numCache>
                <c:formatCode>General</c:formatCode>
                <c:ptCount val="20"/>
                <c:pt idx="0">
                  <c:v>-559.74582906132275</c:v>
                </c:pt>
                <c:pt idx="1">
                  <c:v>-448.07575920599618</c:v>
                </c:pt>
                <c:pt idx="2">
                  <c:v>-411.30121322521876</c:v>
                </c:pt>
                <c:pt idx="3">
                  <c:v>-405.98551843645185</c:v>
                </c:pt>
                <c:pt idx="4">
                  <c:v>-392.2126432547779</c:v>
                </c:pt>
                <c:pt idx="5">
                  <c:v>-388.80748031454812</c:v>
                </c:pt>
                <c:pt idx="6">
                  <c:v>-381.07671682773167</c:v>
                </c:pt>
                <c:pt idx="7">
                  <c:v>-351.97560651975596</c:v>
                </c:pt>
                <c:pt idx="8">
                  <c:v>-333.01086820867192</c:v>
                </c:pt>
                <c:pt idx="9">
                  <c:v>-321.85612489025704</c:v>
                </c:pt>
                <c:pt idx="10">
                  <c:v>-314.94952113151118</c:v>
                </c:pt>
                <c:pt idx="11">
                  <c:v>-290.58819170413852</c:v>
                </c:pt>
                <c:pt idx="12">
                  <c:v>-256.40594950652923</c:v>
                </c:pt>
                <c:pt idx="13">
                  <c:v>-213.46314470119884</c:v>
                </c:pt>
                <c:pt idx="14">
                  <c:v>-172.49742516715406</c:v>
                </c:pt>
                <c:pt idx="15">
                  <c:v>-152.01456540013166</c:v>
                </c:pt>
                <c:pt idx="16">
                  <c:v>-131.53170563310928</c:v>
                </c:pt>
                <c:pt idx="17">
                  <c:v>-100.18731458118241</c:v>
                </c:pt>
                <c:pt idx="18">
                  <c:v>-84.515119055218975</c:v>
                </c:pt>
                <c:pt idx="19">
                  <c:v>-68.842923529255543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B3A-4419-A19A-CFA44DC80770}"/>
            </c:ext>
          </c:extLst>
        </c:ser>
        <c:ser>
          <c:idx val="1"/>
          <c:order val="1"/>
          <c:tx>
            <c:strRef>
              <c:f>centreholedrill!$T$10</c:f>
              <c:strCache>
                <c:ptCount val="1"/>
                <c:pt idx="0">
                  <c:v>NAB_Hole 1_s3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centreholedrill!$P$13:$P$32</c:f>
              <c:numCache>
                <c:formatCode>General</c:formatCode>
                <c:ptCount val="20"/>
                <c:pt idx="0">
                  <c:v>8</c:v>
                </c:pt>
                <c:pt idx="1">
                  <c:v>24</c:v>
                </c:pt>
                <c:pt idx="2">
                  <c:v>40</c:v>
                </c:pt>
                <c:pt idx="3">
                  <c:v>56</c:v>
                </c:pt>
                <c:pt idx="4">
                  <c:v>72</c:v>
                </c:pt>
                <c:pt idx="5">
                  <c:v>88</c:v>
                </c:pt>
                <c:pt idx="6">
                  <c:v>112</c:v>
                </c:pt>
                <c:pt idx="7">
                  <c:v>144</c:v>
                </c:pt>
                <c:pt idx="8">
                  <c:v>176</c:v>
                </c:pt>
                <c:pt idx="9">
                  <c:v>208</c:v>
                </c:pt>
                <c:pt idx="10">
                  <c:v>240</c:v>
                </c:pt>
                <c:pt idx="11">
                  <c:v>288</c:v>
                </c:pt>
                <c:pt idx="12">
                  <c:v>352</c:v>
                </c:pt>
                <c:pt idx="13">
                  <c:v>448</c:v>
                </c:pt>
                <c:pt idx="14">
                  <c:v>512</c:v>
                </c:pt>
                <c:pt idx="15">
                  <c:v>576</c:v>
                </c:pt>
                <c:pt idx="16">
                  <c:v>640</c:v>
                </c:pt>
                <c:pt idx="17">
                  <c:v>768</c:v>
                </c:pt>
                <c:pt idx="18">
                  <c:v>896</c:v>
                </c:pt>
                <c:pt idx="19">
                  <c:v>1024</c:v>
                </c:pt>
              </c:numCache>
            </c:numRef>
          </c:xVal>
          <c:yVal>
            <c:numRef>
              <c:f>centreholedrill!$T$13:$T$32</c:f>
              <c:numCache>
                <c:formatCode>General</c:formatCode>
                <c:ptCount val="20"/>
                <c:pt idx="0">
                  <c:v>-554.24262797392169</c:v>
                </c:pt>
                <c:pt idx="1">
                  <c:v>-421.0903225817824</c:v>
                </c:pt>
                <c:pt idx="2">
                  <c:v>-358.79797392093081</c:v>
                </c:pt>
                <c:pt idx="3">
                  <c:v>-350.85105404914208</c:v>
                </c:pt>
                <c:pt idx="4">
                  <c:v>-345.14651174295392</c:v>
                </c:pt>
                <c:pt idx="5">
                  <c:v>-336.28561908710185</c:v>
                </c:pt>
                <c:pt idx="6">
                  <c:v>-328.60101406701796</c:v>
                </c:pt>
                <c:pt idx="7">
                  <c:v>-320.52427009902965</c:v>
                </c:pt>
                <c:pt idx="8">
                  <c:v>-311.74771097988173</c:v>
                </c:pt>
                <c:pt idx="9">
                  <c:v>-293.04797290985704</c:v>
                </c:pt>
                <c:pt idx="10">
                  <c:v>-281.74291618128638</c:v>
                </c:pt>
                <c:pt idx="11">
                  <c:v>-264.59239751817819</c:v>
                </c:pt>
                <c:pt idx="12">
                  <c:v>-242.50891346184224</c:v>
                </c:pt>
                <c:pt idx="13">
                  <c:v>-209.08233302176896</c:v>
                </c:pt>
                <c:pt idx="14">
                  <c:v>-175.04630817681851</c:v>
                </c:pt>
                <c:pt idx="15">
                  <c:v>-158.0282957543433</c:v>
                </c:pt>
                <c:pt idx="16">
                  <c:v>-141.01028333186812</c:v>
                </c:pt>
                <c:pt idx="17">
                  <c:v>-108.21698431794825</c:v>
                </c:pt>
                <c:pt idx="18">
                  <c:v>-91.8203348109883</c:v>
                </c:pt>
                <c:pt idx="19">
                  <c:v>-75.423685304028382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B3A-4419-A19A-CFA44DC807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2680504"/>
        <c:axId val="452680176"/>
      </c:scatterChart>
      <c:valAx>
        <c:axId val="4526805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Depth [µm]</a:t>
                </a:r>
              </a:p>
            </c:rich>
          </c:tx>
          <c:layout>
            <c:manualLayout>
              <c:xMode val="edge"/>
              <c:yMode val="edge"/>
              <c:x val="0.47153368328958878"/>
              <c:y val="2.682852143482066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680176"/>
        <c:crosses val="autoZero"/>
        <c:crossBetween val="midCat"/>
      </c:valAx>
      <c:valAx>
        <c:axId val="45268017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Residual Stress [MPa]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680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580336832895888"/>
          <c:y val="0.10648148148148148"/>
          <c:w val="0.79830774278215222"/>
          <c:h val="0.7721988918051909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centreholedrill!$Z$10</c:f>
              <c:strCache>
                <c:ptCount val="1"/>
                <c:pt idx="0">
                  <c:v>NAB_Hole 2_s1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centreholedrill!$W$13:$W$32</c:f>
              <c:numCache>
                <c:formatCode>General</c:formatCode>
                <c:ptCount val="20"/>
                <c:pt idx="0">
                  <c:v>8</c:v>
                </c:pt>
                <c:pt idx="1">
                  <c:v>24</c:v>
                </c:pt>
                <c:pt idx="2">
                  <c:v>40</c:v>
                </c:pt>
                <c:pt idx="3">
                  <c:v>56</c:v>
                </c:pt>
                <c:pt idx="4">
                  <c:v>72</c:v>
                </c:pt>
                <c:pt idx="5">
                  <c:v>88</c:v>
                </c:pt>
                <c:pt idx="6">
                  <c:v>112</c:v>
                </c:pt>
                <c:pt idx="7">
                  <c:v>144</c:v>
                </c:pt>
                <c:pt idx="8">
                  <c:v>176</c:v>
                </c:pt>
                <c:pt idx="9">
                  <c:v>208</c:v>
                </c:pt>
                <c:pt idx="10">
                  <c:v>240</c:v>
                </c:pt>
                <c:pt idx="11">
                  <c:v>288</c:v>
                </c:pt>
                <c:pt idx="12">
                  <c:v>352</c:v>
                </c:pt>
                <c:pt idx="13">
                  <c:v>448</c:v>
                </c:pt>
                <c:pt idx="14">
                  <c:v>512</c:v>
                </c:pt>
                <c:pt idx="15">
                  <c:v>576</c:v>
                </c:pt>
                <c:pt idx="16">
                  <c:v>640</c:v>
                </c:pt>
                <c:pt idx="17">
                  <c:v>768</c:v>
                </c:pt>
                <c:pt idx="18">
                  <c:v>896</c:v>
                </c:pt>
                <c:pt idx="19">
                  <c:v>1024</c:v>
                </c:pt>
              </c:numCache>
            </c:numRef>
          </c:xVal>
          <c:yVal>
            <c:numRef>
              <c:f>centreholedrill!$Z$13:$Z$32</c:f>
              <c:numCache>
                <c:formatCode>General</c:formatCode>
                <c:ptCount val="20"/>
                <c:pt idx="0">
                  <c:v>-128.89472922163452</c:v>
                </c:pt>
                <c:pt idx="1">
                  <c:v>-243.02474033622781</c:v>
                </c:pt>
                <c:pt idx="2">
                  <c:v>-340.1518318187413</c:v>
                </c:pt>
                <c:pt idx="3">
                  <c:v>-377.86843726856773</c:v>
                </c:pt>
                <c:pt idx="4">
                  <c:v>-372.27110213633642</c:v>
                </c:pt>
                <c:pt idx="5">
                  <c:v>-364.40842118933699</c:v>
                </c:pt>
                <c:pt idx="6">
                  <c:v>-373.75898064743353</c:v>
                </c:pt>
                <c:pt idx="7">
                  <c:v>-355.55926327957707</c:v>
                </c:pt>
                <c:pt idx="8">
                  <c:v>-342.72126106516947</c:v>
                </c:pt>
                <c:pt idx="9">
                  <c:v>-332.13295148552083</c:v>
                </c:pt>
                <c:pt idx="10">
                  <c:v>-321.44500318332462</c:v>
                </c:pt>
                <c:pt idx="11">
                  <c:v>-305.1465447992166</c:v>
                </c:pt>
                <c:pt idx="12">
                  <c:v>-275.13837724010955</c:v>
                </c:pt>
                <c:pt idx="13">
                  <c:v>-230.9903083941135</c:v>
                </c:pt>
                <c:pt idx="14">
                  <c:v>-194.43049955633711</c:v>
                </c:pt>
                <c:pt idx="15">
                  <c:v>-176.1505951374489</c:v>
                </c:pt>
                <c:pt idx="16">
                  <c:v>-157.8706907185607</c:v>
                </c:pt>
                <c:pt idx="17">
                  <c:v>-121.18201494941702</c:v>
                </c:pt>
                <c:pt idx="18">
                  <c:v>-102.8376770648452</c:v>
                </c:pt>
                <c:pt idx="19">
                  <c:v>-84.493339180273367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8C0-4AB0-B9EF-F13580756DB1}"/>
            </c:ext>
          </c:extLst>
        </c:ser>
        <c:ser>
          <c:idx val="1"/>
          <c:order val="1"/>
          <c:tx>
            <c:strRef>
              <c:f>centreholedrill!$AA$10</c:f>
              <c:strCache>
                <c:ptCount val="1"/>
                <c:pt idx="0">
                  <c:v>NAB_Hole 2_s3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centreholedrill!$W$13:$W$32</c:f>
              <c:numCache>
                <c:formatCode>General</c:formatCode>
                <c:ptCount val="20"/>
                <c:pt idx="0">
                  <c:v>8</c:v>
                </c:pt>
                <c:pt idx="1">
                  <c:v>24</c:v>
                </c:pt>
                <c:pt idx="2">
                  <c:v>40</c:v>
                </c:pt>
                <c:pt idx="3">
                  <c:v>56</c:v>
                </c:pt>
                <c:pt idx="4">
                  <c:v>72</c:v>
                </c:pt>
                <c:pt idx="5">
                  <c:v>88</c:v>
                </c:pt>
                <c:pt idx="6">
                  <c:v>112</c:v>
                </c:pt>
                <c:pt idx="7">
                  <c:v>144</c:v>
                </c:pt>
                <c:pt idx="8">
                  <c:v>176</c:v>
                </c:pt>
                <c:pt idx="9">
                  <c:v>208</c:v>
                </c:pt>
                <c:pt idx="10">
                  <c:v>240</c:v>
                </c:pt>
                <c:pt idx="11">
                  <c:v>288</c:v>
                </c:pt>
                <c:pt idx="12">
                  <c:v>352</c:v>
                </c:pt>
                <c:pt idx="13">
                  <c:v>448</c:v>
                </c:pt>
                <c:pt idx="14">
                  <c:v>512</c:v>
                </c:pt>
                <c:pt idx="15">
                  <c:v>576</c:v>
                </c:pt>
                <c:pt idx="16">
                  <c:v>640</c:v>
                </c:pt>
                <c:pt idx="17">
                  <c:v>768</c:v>
                </c:pt>
                <c:pt idx="18">
                  <c:v>896</c:v>
                </c:pt>
                <c:pt idx="19">
                  <c:v>1024</c:v>
                </c:pt>
              </c:numCache>
            </c:numRef>
          </c:xVal>
          <c:yVal>
            <c:numRef>
              <c:f>centreholedrill!$AA$13:$AA$32</c:f>
              <c:numCache>
                <c:formatCode>General</c:formatCode>
                <c:ptCount val="20"/>
                <c:pt idx="0">
                  <c:v>-128.89472922163452</c:v>
                </c:pt>
                <c:pt idx="1">
                  <c:v>-243.02474033622781</c:v>
                </c:pt>
                <c:pt idx="2">
                  <c:v>-328.79499790742358</c:v>
                </c:pt>
                <c:pt idx="3">
                  <c:v>-350.24486821610708</c:v>
                </c:pt>
                <c:pt idx="4">
                  <c:v>-351.6009221552452</c:v>
                </c:pt>
                <c:pt idx="5">
                  <c:v>-353.01620700516878</c:v>
                </c:pt>
                <c:pt idx="6">
                  <c:v>-345.95081497136039</c:v>
                </c:pt>
                <c:pt idx="7">
                  <c:v>-321.29008309265714</c:v>
                </c:pt>
                <c:pt idx="8">
                  <c:v>-309.08690184163419</c:v>
                </c:pt>
                <c:pt idx="9">
                  <c:v>-306.55441220510329</c:v>
                </c:pt>
                <c:pt idx="10">
                  <c:v>-305.49774896874499</c:v>
                </c:pt>
                <c:pt idx="11">
                  <c:v>-288.71753240661292</c:v>
                </c:pt>
                <c:pt idx="12">
                  <c:v>-261.0012949833573</c:v>
                </c:pt>
                <c:pt idx="13">
                  <c:v>-227.19634296966532</c:v>
                </c:pt>
                <c:pt idx="14">
                  <c:v>-194.97812655907381</c:v>
                </c:pt>
                <c:pt idx="15">
                  <c:v>-178.8690183537781</c:v>
                </c:pt>
                <c:pt idx="16">
                  <c:v>-162.75991014848233</c:v>
                </c:pt>
                <c:pt idx="17">
                  <c:v>-124.49501766113498</c:v>
                </c:pt>
                <c:pt idx="18">
                  <c:v>-105.36257141746131</c:v>
                </c:pt>
                <c:pt idx="19">
                  <c:v>-86.230125173787613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8C0-4AB0-B9EF-F13580756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2680504"/>
        <c:axId val="452680176"/>
      </c:scatterChart>
      <c:valAx>
        <c:axId val="4526805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Depth [µm]</a:t>
                </a:r>
              </a:p>
            </c:rich>
          </c:tx>
          <c:layout>
            <c:manualLayout>
              <c:xMode val="edge"/>
              <c:yMode val="edge"/>
              <c:x val="0.47153368328958878"/>
              <c:y val="2.682852143482066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680176"/>
        <c:crosses val="autoZero"/>
        <c:crossBetween val="midCat"/>
      </c:valAx>
      <c:valAx>
        <c:axId val="45268017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Residual Stress [MPa]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680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2.xml"/><Relationship Id="rId3" Type="http://schemas.openxmlformats.org/officeDocument/2006/relationships/chart" Target="../charts/chart7.xml"/><Relationship Id="rId7" Type="http://schemas.openxmlformats.org/officeDocument/2006/relationships/chart" Target="../charts/chart11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28575</xdr:colOff>
      <xdr:row>47</xdr:row>
      <xdr:rowOff>161925</xdr:rowOff>
    </xdr:from>
    <xdr:to>
      <xdr:col>20</xdr:col>
      <xdr:colOff>190500</xdr:colOff>
      <xdr:row>60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76200</xdr:colOff>
      <xdr:row>29</xdr:row>
      <xdr:rowOff>9525</xdr:rowOff>
    </xdr:from>
    <xdr:to>
      <xdr:col>28</xdr:col>
      <xdr:colOff>266700</xdr:colOff>
      <xdr:row>48</xdr:row>
      <xdr:rowOff>114300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21</xdr:col>
      <xdr:colOff>28575</xdr:colOff>
      <xdr:row>47</xdr:row>
      <xdr:rowOff>152400</xdr:rowOff>
    </xdr:from>
    <xdr:to>
      <xdr:col>27</xdr:col>
      <xdr:colOff>114300</xdr:colOff>
      <xdr:row>60</xdr:row>
      <xdr:rowOff>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57150</xdr:colOff>
      <xdr:row>0</xdr:row>
      <xdr:rowOff>19050</xdr:rowOff>
    </xdr:from>
    <xdr:to>
      <xdr:col>12</xdr:col>
      <xdr:colOff>542925</xdr:colOff>
      <xdr:row>29</xdr:row>
      <xdr:rowOff>114300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190500</xdr:colOff>
      <xdr:row>25</xdr:row>
      <xdr:rowOff>9525</xdr:rowOff>
    </xdr:from>
    <xdr:to>
      <xdr:col>25</xdr:col>
      <xdr:colOff>190500</xdr:colOff>
      <xdr:row>26</xdr:row>
      <xdr:rowOff>57150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 flipV="1">
          <a:off x="15430500" y="4057650"/>
          <a:ext cx="0" cy="2095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200025</xdr:colOff>
      <xdr:row>25</xdr:row>
      <xdr:rowOff>9525</xdr:rowOff>
    </xdr:from>
    <xdr:to>
      <xdr:col>26</xdr:col>
      <xdr:colOff>200025</xdr:colOff>
      <xdr:row>27</xdr:row>
      <xdr:rowOff>66675</xdr:rowOff>
    </xdr:to>
    <xdr:sp macro="" textlink="">
      <xdr:nvSpPr>
        <xdr:cNvPr id="7" name="Line 6"/>
        <xdr:cNvSpPr>
          <a:spLocks noChangeShapeType="1"/>
        </xdr:cNvSpPr>
      </xdr:nvSpPr>
      <xdr:spPr bwMode="auto">
        <a:xfrm flipV="1">
          <a:off x="16049625" y="4057650"/>
          <a:ext cx="0" cy="3810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0</xdr:colOff>
      <xdr:row>26</xdr:row>
      <xdr:rowOff>66675</xdr:rowOff>
    </xdr:from>
    <xdr:to>
      <xdr:col>25</xdr:col>
      <xdr:colOff>190500</xdr:colOff>
      <xdr:row>26</xdr:row>
      <xdr:rowOff>66675</xdr:rowOff>
    </xdr:to>
    <xdr:sp macro="" textlink="">
      <xdr:nvSpPr>
        <xdr:cNvPr id="8" name="Line 7"/>
        <xdr:cNvSpPr>
          <a:spLocks noChangeShapeType="1"/>
        </xdr:cNvSpPr>
      </xdr:nvSpPr>
      <xdr:spPr bwMode="auto">
        <a:xfrm flipH="1">
          <a:off x="15240000" y="4276725"/>
          <a:ext cx="190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9525</xdr:colOff>
      <xdr:row>27</xdr:row>
      <xdr:rowOff>66675</xdr:rowOff>
    </xdr:from>
    <xdr:to>
      <xdr:col>26</xdr:col>
      <xdr:colOff>190500</xdr:colOff>
      <xdr:row>27</xdr:row>
      <xdr:rowOff>66675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15249525" y="4438650"/>
          <a:ext cx="7905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219075</xdr:colOff>
      <xdr:row>51</xdr:row>
      <xdr:rowOff>104775</xdr:rowOff>
    </xdr:from>
    <xdr:to>
      <xdr:col>21</xdr:col>
      <xdr:colOff>28575</xdr:colOff>
      <xdr:row>54</xdr:row>
      <xdr:rowOff>133350</xdr:rowOff>
    </xdr:to>
    <xdr:sp macro="" textlink="">
      <xdr:nvSpPr>
        <xdr:cNvPr id="10" name="AutoShape 9"/>
        <xdr:cNvSpPr>
          <a:spLocks noChangeAspect="1" noChangeArrowheads="1"/>
        </xdr:cNvSpPr>
      </xdr:nvSpPr>
      <xdr:spPr bwMode="auto">
        <a:xfrm>
          <a:off x="12411075" y="8362950"/>
          <a:ext cx="419100" cy="514350"/>
        </a:xfrm>
        <a:prstGeom prst="upArrow">
          <a:avLst>
            <a:gd name="adj1" fmla="val 50000"/>
            <a:gd name="adj2" fmla="val 7125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219075</xdr:colOff>
      <xdr:row>58</xdr:row>
      <xdr:rowOff>28575</xdr:rowOff>
    </xdr:from>
    <xdr:to>
      <xdr:col>20</xdr:col>
      <xdr:colOff>0</xdr:colOff>
      <xdr:row>59</xdr:row>
      <xdr:rowOff>38100</xdr:rowOff>
    </xdr:to>
    <xdr:sp macro="" textlink="">
      <xdr:nvSpPr>
        <xdr:cNvPr id="11" name="AutoShape 10"/>
        <xdr:cNvSpPr>
          <a:spLocks noChangeAspect="1" noChangeArrowheads="1"/>
        </xdr:cNvSpPr>
      </xdr:nvSpPr>
      <xdr:spPr bwMode="auto">
        <a:xfrm>
          <a:off x="11191875" y="9420225"/>
          <a:ext cx="1000125" cy="171450"/>
        </a:xfrm>
        <a:prstGeom prst="leftArrow">
          <a:avLst>
            <a:gd name="adj1" fmla="val 50000"/>
            <a:gd name="adj2" fmla="val 75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16</xdr:col>
      <xdr:colOff>104775</xdr:colOff>
      <xdr:row>49</xdr:row>
      <xdr:rowOff>123825</xdr:rowOff>
    </xdr:from>
    <xdr:to>
      <xdr:col>26</xdr:col>
      <xdr:colOff>0</xdr:colOff>
      <xdr:row>56</xdr:row>
      <xdr:rowOff>66675</xdr:rowOff>
    </xdr:to>
    <xdr:grpSp>
      <xdr:nvGrpSpPr>
        <xdr:cNvPr id="12" name="Group 11"/>
        <xdr:cNvGrpSpPr>
          <a:grpSpLocks/>
        </xdr:cNvGrpSpPr>
      </xdr:nvGrpSpPr>
      <xdr:grpSpPr bwMode="auto">
        <a:xfrm>
          <a:off x="7467600" y="7543800"/>
          <a:ext cx="3571875" cy="1143000"/>
          <a:chOff x="945" y="637"/>
          <a:chExt cx="375" cy="118"/>
        </a:xfrm>
      </xdr:grpSpPr>
      <xdr:grpSp>
        <xdr:nvGrpSpPr>
          <xdr:cNvPr id="13" name="Group 12"/>
          <xdr:cNvGrpSpPr>
            <a:grpSpLocks/>
          </xdr:cNvGrpSpPr>
        </xdr:nvGrpSpPr>
        <xdr:grpSpPr bwMode="auto">
          <a:xfrm>
            <a:off x="945" y="638"/>
            <a:ext cx="113" cy="117"/>
            <a:chOff x="945" y="638"/>
            <a:chExt cx="113" cy="117"/>
          </a:xfrm>
        </xdr:grpSpPr>
        <xdr:sp macro="" textlink="">
          <xdr:nvSpPr>
            <xdr:cNvPr id="22" name="Rectangle 13"/>
            <xdr:cNvSpPr>
              <a:spLocks noChangeAspect="1" noChangeArrowheads="1"/>
            </xdr:cNvSpPr>
          </xdr:nvSpPr>
          <xdr:spPr bwMode="auto">
            <a:xfrm>
              <a:off x="1025" y="676"/>
              <a:ext cx="33" cy="32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  <a:ln w="1270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23" name="Rectangle 14"/>
            <xdr:cNvSpPr>
              <a:spLocks noChangeAspect="1" noChangeArrowheads="1"/>
            </xdr:cNvSpPr>
          </xdr:nvSpPr>
          <xdr:spPr bwMode="auto">
            <a:xfrm>
              <a:off x="982" y="721"/>
              <a:ext cx="32" cy="34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  <a:ln w="1270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24" name="AutoShape 15"/>
            <xdr:cNvSpPr>
              <a:spLocks noChangeAspect="1" noChangeArrowheads="1"/>
            </xdr:cNvSpPr>
          </xdr:nvSpPr>
          <xdr:spPr bwMode="auto">
            <a:xfrm>
              <a:off x="945" y="638"/>
              <a:ext cx="44" cy="45"/>
            </a:xfrm>
            <a:prstGeom prst="diamond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  <a:ln w="1270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25" name="Oval 16"/>
            <xdr:cNvSpPr>
              <a:spLocks noChangeAspect="1" noChangeArrowheads="1"/>
            </xdr:cNvSpPr>
          </xdr:nvSpPr>
          <xdr:spPr bwMode="auto">
            <a:xfrm>
              <a:off x="981" y="676"/>
              <a:ext cx="33" cy="3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  <a:ln w="1270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</xdr:spPr>
        </xdr:sp>
        <xdr:sp macro="" textlink="">
          <xdr:nvSpPr>
            <xdr:cNvPr id="26" name="Text Box 17"/>
            <xdr:cNvSpPr txBox="1">
              <a:spLocks noChangeAspect="1" noChangeArrowheads="1"/>
            </xdr:cNvSpPr>
          </xdr:nvSpPr>
          <xdr:spPr bwMode="auto">
            <a:xfrm>
              <a:off x="958" y="652"/>
              <a:ext cx="21" cy="1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wrap="square" lIns="27432" tIns="22860" rIns="0" bIns="0" anchor="t" upright="1"/>
            <a:lstStyle/>
            <a:p>
              <a:pPr algn="l" rtl="0">
                <a:defRPr sz="1000"/>
              </a:pPr>
              <a:r>
                <a:rPr lang="en-GB" sz="900" b="0" i="0" u="none" strike="noStrike" baseline="0">
                  <a:solidFill>
                    <a:srgbClr val="000000"/>
                  </a:solidFill>
                  <a:latin typeface="Symbol"/>
                </a:rPr>
                <a:t>e2</a:t>
              </a:r>
            </a:p>
          </xdr:txBody>
        </xdr:sp>
        <xdr:sp macro="" textlink="">
          <xdr:nvSpPr>
            <xdr:cNvPr id="27" name="Text Box 18"/>
            <xdr:cNvSpPr txBox="1">
              <a:spLocks noChangeAspect="1" noChangeArrowheads="1"/>
            </xdr:cNvSpPr>
          </xdr:nvSpPr>
          <xdr:spPr bwMode="auto">
            <a:xfrm>
              <a:off x="1033" y="686"/>
              <a:ext cx="20" cy="14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0" anchor="t" upright="1"/>
            <a:lstStyle/>
            <a:p>
              <a:pPr algn="l" rtl="0">
                <a:defRPr sz="1000"/>
              </a:pPr>
              <a:r>
                <a:rPr lang="en-GB" sz="900" b="0" i="0" u="none" strike="noStrike" baseline="0">
                  <a:solidFill>
                    <a:srgbClr val="000000"/>
                  </a:solidFill>
                  <a:latin typeface="Symbol"/>
                </a:rPr>
                <a:t>e1</a:t>
              </a:r>
            </a:p>
          </xdr:txBody>
        </xdr:sp>
        <xdr:sp macro="" textlink="">
          <xdr:nvSpPr>
            <xdr:cNvPr id="28" name="Text Box 19"/>
            <xdr:cNvSpPr txBox="1">
              <a:spLocks noChangeAspect="1" noChangeArrowheads="1"/>
            </xdr:cNvSpPr>
          </xdr:nvSpPr>
          <xdr:spPr bwMode="auto">
            <a:xfrm>
              <a:off x="987" y="732"/>
              <a:ext cx="21" cy="15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wrap="square" lIns="27432" tIns="22860" rIns="0" bIns="0" anchor="t" upright="1"/>
            <a:lstStyle/>
            <a:p>
              <a:pPr algn="l" rtl="0">
                <a:defRPr sz="1000"/>
              </a:pPr>
              <a:r>
                <a:rPr lang="en-GB" sz="900" b="0" i="0" u="none" strike="noStrike" baseline="0">
                  <a:solidFill>
                    <a:srgbClr val="000000"/>
                  </a:solidFill>
                  <a:latin typeface="Symbol"/>
                </a:rPr>
                <a:t>e3</a:t>
              </a:r>
            </a:p>
          </xdr:txBody>
        </xdr:sp>
      </xdr:grpSp>
      <xdr:grpSp>
        <xdr:nvGrpSpPr>
          <xdr:cNvPr id="14" name="Group 20"/>
          <xdr:cNvGrpSpPr>
            <a:grpSpLocks/>
          </xdr:cNvGrpSpPr>
        </xdr:nvGrpSpPr>
        <xdr:grpSpPr bwMode="auto">
          <a:xfrm>
            <a:off x="1207" y="637"/>
            <a:ext cx="113" cy="117"/>
            <a:chOff x="945" y="638"/>
            <a:chExt cx="113" cy="117"/>
          </a:xfrm>
        </xdr:grpSpPr>
        <xdr:sp macro="" textlink="">
          <xdr:nvSpPr>
            <xdr:cNvPr id="15" name="Rectangle 21"/>
            <xdr:cNvSpPr>
              <a:spLocks noChangeAspect="1" noChangeArrowheads="1"/>
            </xdr:cNvSpPr>
          </xdr:nvSpPr>
          <xdr:spPr bwMode="auto">
            <a:xfrm>
              <a:off x="1025" y="676"/>
              <a:ext cx="33" cy="32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  <a:ln w="1270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16" name="Rectangle 22"/>
            <xdr:cNvSpPr>
              <a:spLocks noChangeAspect="1" noChangeArrowheads="1"/>
            </xdr:cNvSpPr>
          </xdr:nvSpPr>
          <xdr:spPr bwMode="auto">
            <a:xfrm>
              <a:off x="982" y="721"/>
              <a:ext cx="32" cy="34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  <a:ln w="1270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17" name="AutoShape 23"/>
            <xdr:cNvSpPr>
              <a:spLocks noChangeAspect="1" noChangeArrowheads="1"/>
            </xdr:cNvSpPr>
          </xdr:nvSpPr>
          <xdr:spPr bwMode="auto">
            <a:xfrm>
              <a:off x="945" y="638"/>
              <a:ext cx="44" cy="45"/>
            </a:xfrm>
            <a:prstGeom prst="diamond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  <a:ln w="1270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18" name="Oval 24"/>
            <xdr:cNvSpPr>
              <a:spLocks noChangeAspect="1" noChangeArrowheads="1"/>
            </xdr:cNvSpPr>
          </xdr:nvSpPr>
          <xdr:spPr bwMode="auto">
            <a:xfrm>
              <a:off x="981" y="676"/>
              <a:ext cx="33" cy="3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  <a:ln w="1270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</xdr:spPr>
        </xdr:sp>
        <xdr:sp macro="" textlink="">
          <xdr:nvSpPr>
            <xdr:cNvPr id="19" name="Text Box 25"/>
            <xdr:cNvSpPr txBox="1">
              <a:spLocks noChangeAspect="1" noChangeArrowheads="1"/>
            </xdr:cNvSpPr>
          </xdr:nvSpPr>
          <xdr:spPr bwMode="auto">
            <a:xfrm>
              <a:off x="958" y="652"/>
              <a:ext cx="21" cy="1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wrap="square" lIns="27432" tIns="22860" rIns="0" bIns="0" anchor="t" upright="1"/>
            <a:lstStyle/>
            <a:p>
              <a:pPr algn="l" rtl="0">
                <a:defRPr sz="1000"/>
              </a:pPr>
              <a:r>
                <a:rPr lang="en-GB" sz="900" b="0" i="0" u="none" strike="noStrike" baseline="0">
                  <a:solidFill>
                    <a:srgbClr val="000000"/>
                  </a:solidFill>
                  <a:latin typeface="Symbol"/>
                </a:rPr>
                <a:t>e2</a:t>
              </a:r>
            </a:p>
          </xdr:txBody>
        </xdr:sp>
        <xdr:sp macro="" textlink="">
          <xdr:nvSpPr>
            <xdr:cNvPr id="20" name="Text Box 26"/>
            <xdr:cNvSpPr txBox="1">
              <a:spLocks noChangeAspect="1" noChangeArrowheads="1"/>
            </xdr:cNvSpPr>
          </xdr:nvSpPr>
          <xdr:spPr bwMode="auto">
            <a:xfrm>
              <a:off x="1033" y="686"/>
              <a:ext cx="20" cy="14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0" anchor="t" upright="1"/>
            <a:lstStyle/>
            <a:p>
              <a:pPr algn="l" rtl="0">
                <a:defRPr sz="1000"/>
              </a:pPr>
              <a:r>
                <a:rPr lang="en-GB" sz="900" b="0" i="0" u="none" strike="noStrike" baseline="0">
                  <a:solidFill>
                    <a:srgbClr val="000000"/>
                  </a:solidFill>
                  <a:latin typeface="Symbol"/>
                </a:rPr>
                <a:t>e1</a:t>
              </a:r>
            </a:p>
          </xdr:txBody>
        </xdr:sp>
        <xdr:sp macro="" textlink="">
          <xdr:nvSpPr>
            <xdr:cNvPr id="21" name="Text Box 27"/>
            <xdr:cNvSpPr txBox="1">
              <a:spLocks noChangeAspect="1" noChangeArrowheads="1"/>
            </xdr:cNvSpPr>
          </xdr:nvSpPr>
          <xdr:spPr bwMode="auto">
            <a:xfrm>
              <a:off x="987" y="732"/>
              <a:ext cx="21" cy="15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wrap="square" lIns="27432" tIns="22860" rIns="0" bIns="0" anchor="t" upright="1"/>
            <a:lstStyle/>
            <a:p>
              <a:pPr algn="l" rtl="0">
                <a:defRPr sz="1000"/>
              </a:pPr>
              <a:r>
                <a:rPr lang="en-GB" sz="900" b="0" i="0" u="none" strike="noStrike" baseline="0">
                  <a:solidFill>
                    <a:srgbClr val="000000"/>
                  </a:solidFill>
                  <a:latin typeface="Symbol"/>
                </a:rPr>
                <a:t>e3</a:t>
              </a:r>
            </a:p>
          </xdr:txBody>
        </xdr:sp>
      </xdr:grpSp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0.32587</cdr:x>
      <cdr:y>0.4526</cdr:y>
    </cdr:from>
    <cdr:to>
      <cdr:x>0.3533</cdr:x>
      <cdr:y>0.50929</cdr:y>
    </cdr:to>
    <cdr:sp macro="" textlink="">
      <cdr:nvSpPr>
        <cdr:cNvPr id="14233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9831" y="917104"/>
          <a:ext cx="56960" cy="1144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0.4277</cdr:x>
      <cdr:y>0.39612</cdr:y>
    </cdr:from>
    <cdr:to>
      <cdr:x>0.45308</cdr:x>
      <cdr:y>0.45235</cdr:y>
    </cdr:to>
    <cdr:sp macro="" textlink="">
      <cdr:nvSpPr>
        <cdr:cNvPr id="14336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4600" y="806828"/>
          <a:ext cx="57045" cy="1140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287215</xdr:colOff>
      <xdr:row>32</xdr:row>
      <xdr:rowOff>71071</xdr:rowOff>
    </xdr:from>
    <xdr:to>
      <xdr:col>7</xdr:col>
      <xdr:colOff>106240</xdr:colOff>
      <xdr:row>46</xdr:row>
      <xdr:rowOff>147271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570034</xdr:colOff>
      <xdr:row>34</xdr:row>
      <xdr:rowOff>120894</xdr:rowOff>
    </xdr:from>
    <xdr:to>
      <xdr:col>16</xdr:col>
      <xdr:colOff>390526</xdr:colOff>
      <xdr:row>49</xdr:row>
      <xdr:rowOff>6594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139844</xdr:colOff>
      <xdr:row>33</xdr:row>
      <xdr:rowOff>170585</xdr:rowOff>
    </xdr:from>
    <xdr:to>
      <xdr:col>9</xdr:col>
      <xdr:colOff>429058</xdr:colOff>
      <xdr:row>51</xdr:row>
      <xdr:rowOff>27709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399719</xdr:colOff>
      <xdr:row>19</xdr:row>
      <xdr:rowOff>87865</xdr:rowOff>
    </xdr:from>
    <xdr:to>
      <xdr:col>21</xdr:col>
      <xdr:colOff>218743</xdr:colOff>
      <xdr:row>33</xdr:row>
      <xdr:rowOff>164065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22</xdr:col>
      <xdr:colOff>601807</xdr:colOff>
      <xdr:row>18</xdr:row>
      <xdr:rowOff>181841</xdr:rowOff>
    </xdr:from>
    <xdr:to>
      <xdr:col>28</xdr:col>
      <xdr:colOff>420831</xdr:colOff>
      <xdr:row>33</xdr:row>
      <xdr:rowOff>67541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20</xdr:col>
      <xdr:colOff>0</xdr:colOff>
      <xdr:row>35</xdr:row>
      <xdr:rowOff>0</xdr:rowOff>
    </xdr:from>
    <xdr:to>
      <xdr:col>25</xdr:col>
      <xdr:colOff>428624</xdr:colOff>
      <xdr:row>49</xdr:row>
      <xdr:rowOff>76200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44</xdr:col>
      <xdr:colOff>428624</xdr:colOff>
      <xdr:row>1</xdr:row>
      <xdr:rowOff>74241</xdr:rowOff>
    </xdr:from>
    <xdr:to>
      <xdr:col>57</xdr:col>
      <xdr:colOff>498125</xdr:colOff>
      <xdr:row>32</xdr:row>
      <xdr:rowOff>116061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384438</xdr:colOff>
      <xdr:row>55</xdr:row>
      <xdr:rowOff>101236</xdr:rowOff>
    </xdr:from>
    <xdr:to>
      <xdr:col>20</xdr:col>
      <xdr:colOff>505664</xdr:colOff>
      <xdr:row>89</xdr:row>
      <xdr:rowOff>21572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142875</xdr:colOff>
      <xdr:row>21</xdr:row>
      <xdr:rowOff>176212</xdr:rowOff>
    </xdr:from>
    <xdr:to>
      <xdr:col>21</xdr:col>
      <xdr:colOff>266700</xdr:colOff>
      <xdr:row>45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123825</xdr:colOff>
      <xdr:row>2</xdr:row>
      <xdr:rowOff>119062</xdr:rowOff>
    </xdr:from>
    <xdr:to>
      <xdr:col>21</xdr:col>
      <xdr:colOff>180975</xdr:colOff>
      <xdr:row>20</xdr:row>
      <xdr:rowOff>171450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ests/AA7075-T651/LSP%20treatment/Copy%20of%20South%20Hampton%20LSP%20Jan%2020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Tests/AA7075-T651/LSP%20treatment/Alvaro%20AA7075%20Bend%20Bars%20Hole%20Drilling/Combines%20Hole%20Drilling%20Results%20AA707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to XRD measurments"/>
      <sheetName val="Sheet2"/>
      <sheetName val="Sheet3"/>
    </sheetNames>
    <sheetDataSet>
      <sheetData sheetId="0">
        <row r="14">
          <cell r="C14" t="str">
            <v>before LSP</v>
          </cell>
          <cell r="E14">
            <v>-60.15</v>
          </cell>
        </row>
        <row r="15">
          <cell r="C15" t="str">
            <v>after 1 layer LSP</v>
          </cell>
          <cell r="E15">
            <v>-347</v>
          </cell>
        </row>
        <row r="16">
          <cell r="C16" t="str">
            <v>after 2 layers LSP</v>
          </cell>
          <cell r="E16">
            <v>-375.39</v>
          </cell>
        </row>
        <row r="17">
          <cell r="C17" t="str">
            <v>after 3 layers</v>
          </cell>
          <cell r="E17">
            <v>-391.48</v>
          </cell>
        </row>
        <row r="22">
          <cell r="B22" t="str">
            <v>LT-18</v>
          </cell>
          <cell r="F22">
            <v>-96.51</v>
          </cell>
        </row>
        <row r="23">
          <cell r="B23" t="str">
            <v>LT-19</v>
          </cell>
          <cell r="F23">
            <v>-97.56</v>
          </cell>
        </row>
        <row r="24">
          <cell r="B24" t="str">
            <v>LT-21</v>
          </cell>
          <cell r="F24">
            <v>-111.2</v>
          </cell>
        </row>
        <row r="25">
          <cell r="B25" t="str">
            <v>LT-22</v>
          </cell>
          <cell r="F25">
            <v>-126.85</v>
          </cell>
        </row>
        <row r="26">
          <cell r="B26" t="str">
            <v>LT-23</v>
          </cell>
          <cell r="F26">
            <v>-96.75</v>
          </cell>
        </row>
        <row r="27">
          <cell r="B27" t="str">
            <v>LT-24</v>
          </cell>
          <cell r="F27">
            <v>-97.35</v>
          </cell>
        </row>
        <row r="28">
          <cell r="B28" t="str">
            <v>LT-24</v>
          </cell>
          <cell r="F28">
            <v>-99.07</v>
          </cell>
        </row>
        <row r="29">
          <cell r="B29" t="str">
            <v>LT-25</v>
          </cell>
          <cell r="F29">
            <v>-107.39</v>
          </cell>
        </row>
        <row r="30">
          <cell r="B30" t="str">
            <v>LT-26</v>
          </cell>
          <cell r="F30">
            <v>-40.26</v>
          </cell>
        </row>
        <row r="31">
          <cell r="B31" t="str">
            <v>LT-27</v>
          </cell>
          <cell r="F31">
            <v>-86.3</v>
          </cell>
        </row>
        <row r="37">
          <cell r="F37">
            <v>-256</v>
          </cell>
        </row>
        <row r="38">
          <cell r="F38">
            <v>-300</v>
          </cell>
        </row>
        <row r="39">
          <cell r="F39">
            <v>-292.62</v>
          </cell>
        </row>
        <row r="40">
          <cell r="F40">
            <v>-218</v>
          </cell>
        </row>
        <row r="41">
          <cell r="F41">
            <v>-229.27</v>
          </cell>
        </row>
        <row r="42">
          <cell r="F42">
            <v>-231</v>
          </cell>
        </row>
        <row r="43">
          <cell r="F43">
            <v>-274.72000000000003</v>
          </cell>
        </row>
        <row r="44">
          <cell r="F44">
            <v>-278</v>
          </cell>
        </row>
        <row r="45">
          <cell r="F45">
            <v>-256.5</v>
          </cell>
        </row>
        <row r="46">
          <cell r="F46">
            <v>-237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9">
          <cell r="AI9" t="str">
            <v>3 GW/cm^2_s1</v>
          </cell>
          <cell r="AJ9" t="str">
            <v>3 GW/cm^2_s3</v>
          </cell>
          <cell r="AP9" t="str">
            <v>5 GW/cm^2_s1</v>
          </cell>
          <cell r="AQ9" t="str">
            <v>5 GW/cm^2_s3</v>
          </cell>
        </row>
        <row r="10">
          <cell r="D10" t="str">
            <v>AB_Hole 1_s1</v>
          </cell>
          <cell r="E10" t="str">
            <v>AB_Hole 1_s3</v>
          </cell>
          <cell r="K10" t="str">
            <v>AB_Hole 2_s1</v>
          </cell>
          <cell r="L10" t="str">
            <v>AB_Hole 2_s3</v>
          </cell>
          <cell r="S10" t="str">
            <v>NAB_Hole 1_s1</v>
          </cell>
          <cell r="T10" t="str">
            <v>NAB_Hole 1_s3</v>
          </cell>
          <cell r="Z10" t="str">
            <v>NAB_Hole 2_s1</v>
          </cell>
          <cell r="AA10" t="str">
            <v>NAB_Hole 2_s3</v>
          </cell>
        </row>
        <row r="12">
          <cell r="AH12">
            <v>25</v>
          </cell>
          <cell r="AI12">
            <v>-269.541</v>
          </cell>
          <cell r="AJ12">
            <v>-276.75799999999998</v>
          </cell>
          <cell r="AO12">
            <v>25</v>
          </cell>
          <cell r="AP12">
            <v>-267.91699999999997</v>
          </cell>
          <cell r="AQ12">
            <v>-286.101</v>
          </cell>
        </row>
        <row r="13">
          <cell r="A13">
            <v>8</v>
          </cell>
          <cell r="D13">
            <v>-65.664922748466552</v>
          </cell>
          <cell r="E13">
            <v>-60.28677695401214</v>
          </cell>
          <cell r="H13">
            <v>8</v>
          </cell>
          <cell r="K13">
            <v>-185.27607707958822</v>
          </cell>
          <cell r="L13">
            <v>-144.50271210732609</v>
          </cell>
          <cell r="P13">
            <v>8</v>
          </cell>
          <cell r="S13">
            <v>-559.74582906132275</v>
          </cell>
          <cell r="T13">
            <v>-554.24262797392169</v>
          </cell>
          <cell r="W13">
            <v>8</v>
          </cell>
          <cell r="Z13">
            <v>-128.89472922163452</v>
          </cell>
          <cell r="AA13">
            <v>-128.89472922163452</v>
          </cell>
          <cell r="AH13">
            <v>75</v>
          </cell>
          <cell r="AI13">
            <v>-230.06800000000001</v>
          </cell>
          <cell r="AJ13">
            <v>-231.04300000000001</v>
          </cell>
          <cell r="AO13">
            <v>75</v>
          </cell>
          <cell r="AP13">
            <v>-284.71300000000002</v>
          </cell>
          <cell r="AQ13">
            <v>-288.89999999999998</v>
          </cell>
        </row>
        <row r="14">
          <cell r="A14">
            <v>24</v>
          </cell>
          <cell r="D14">
            <v>-205.02940414169365</v>
          </cell>
          <cell r="E14">
            <v>-183.97543273840722</v>
          </cell>
          <cell r="H14">
            <v>24</v>
          </cell>
          <cell r="K14">
            <v>-250.07592809430105</v>
          </cell>
          <cell r="L14">
            <v>-201.37690320055123</v>
          </cell>
          <cell r="P14">
            <v>24</v>
          </cell>
          <cell r="S14">
            <v>-448.07575920599618</v>
          </cell>
          <cell r="T14">
            <v>-421.0903225817824</v>
          </cell>
          <cell r="W14">
            <v>24</v>
          </cell>
          <cell r="Z14">
            <v>-243.02474033622781</v>
          </cell>
          <cell r="AA14">
            <v>-243.02474033622781</v>
          </cell>
          <cell r="AH14">
            <v>125</v>
          </cell>
          <cell r="AI14">
            <v>-195.501</v>
          </cell>
          <cell r="AJ14">
            <v>-194.78299999999999</v>
          </cell>
          <cell r="AO14">
            <v>125</v>
          </cell>
          <cell r="AP14">
            <v>-286.36799999999999</v>
          </cell>
          <cell r="AQ14">
            <v>-279.30200000000002</v>
          </cell>
        </row>
        <row r="15">
          <cell r="A15">
            <v>40</v>
          </cell>
          <cell r="D15">
            <v>-296.34809108424668</v>
          </cell>
          <cell r="E15">
            <v>-265.86443517578698</v>
          </cell>
          <cell r="H15">
            <v>40</v>
          </cell>
          <cell r="K15">
            <v>-293.54847535238463</v>
          </cell>
          <cell r="L15">
            <v>-232.43502017721556</v>
          </cell>
          <cell r="P15">
            <v>40</v>
          </cell>
          <cell r="S15">
            <v>-411.30121322521876</v>
          </cell>
          <cell r="T15">
            <v>-358.79797392093081</v>
          </cell>
          <cell r="W15">
            <v>40</v>
          </cell>
          <cell r="Z15">
            <v>-340.1518318187413</v>
          </cell>
          <cell r="AA15">
            <v>-328.79499790742358</v>
          </cell>
          <cell r="AH15">
            <v>175</v>
          </cell>
          <cell r="AI15">
            <v>-172.072</v>
          </cell>
          <cell r="AJ15">
            <v>-171.977</v>
          </cell>
          <cell r="AO15">
            <v>175</v>
          </cell>
          <cell r="AP15">
            <v>-260.77800000000002</v>
          </cell>
          <cell r="AQ15">
            <v>-258.18599999999998</v>
          </cell>
        </row>
        <row r="16">
          <cell r="A16">
            <v>56</v>
          </cell>
          <cell r="D16">
            <v>-307.35425641568798</v>
          </cell>
          <cell r="E16">
            <v>-283.64432347136909</v>
          </cell>
          <cell r="H16">
            <v>56</v>
          </cell>
          <cell r="K16">
            <v>-295.87331468989788</v>
          </cell>
          <cell r="L16">
            <v>-237.92625208715134</v>
          </cell>
          <cell r="P16">
            <v>56</v>
          </cell>
          <cell r="S16">
            <v>-405.98551843645185</v>
          </cell>
          <cell r="T16">
            <v>-350.85105404914208</v>
          </cell>
          <cell r="W16">
            <v>56</v>
          </cell>
          <cell r="Z16">
            <v>-377.86843726856773</v>
          </cell>
          <cell r="AA16">
            <v>-350.24486821610708</v>
          </cell>
          <cell r="AH16">
            <v>225</v>
          </cell>
          <cell r="AI16">
            <v>-160.07300000000001</v>
          </cell>
          <cell r="AJ16">
            <v>-159.464</v>
          </cell>
          <cell r="AO16">
            <v>225</v>
          </cell>
          <cell r="AP16">
            <v>-205.59899999999999</v>
          </cell>
          <cell r="AQ16">
            <v>-236.84899999999999</v>
          </cell>
        </row>
        <row r="17">
          <cell r="A17">
            <v>72</v>
          </cell>
          <cell r="D17">
            <v>-297.06077483537791</v>
          </cell>
          <cell r="E17">
            <v>-274.55738230215326</v>
          </cell>
          <cell r="H17">
            <v>72</v>
          </cell>
          <cell r="K17">
            <v>-287.95551679324797</v>
          </cell>
          <cell r="L17">
            <v>-237.86366289825764</v>
          </cell>
          <cell r="P17">
            <v>72</v>
          </cell>
          <cell r="S17">
            <v>-392.2126432547779</v>
          </cell>
          <cell r="T17">
            <v>-345.14651174295392</v>
          </cell>
          <cell r="W17">
            <v>72</v>
          </cell>
          <cell r="Z17">
            <v>-372.27110213633642</v>
          </cell>
          <cell r="AA17">
            <v>-351.6009221552452</v>
          </cell>
          <cell r="AH17">
            <v>275</v>
          </cell>
          <cell r="AI17">
            <v>-150.11799999999999</v>
          </cell>
          <cell r="AJ17">
            <v>-146.381</v>
          </cell>
          <cell r="AO17">
            <v>275</v>
          </cell>
          <cell r="AP17">
            <v>-152.01400000000001</v>
          </cell>
          <cell r="AQ17">
            <v>-224.34200000000001</v>
          </cell>
        </row>
        <row r="18">
          <cell r="A18">
            <v>88</v>
          </cell>
          <cell r="D18">
            <v>-292.946151764587</v>
          </cell>
          <cell r="E18">
            <v>-261.38170793760406</v>
          </cell>
          <cell r="H18">
            <v>88</v>
          </cell>
          <cell r="K18">
            <v>-289.75353977843554</v>
          </cell>
          <cell r="L18">
            <v>-242.20348283681798</v>
          </cell>
          <cell r="P18">
            <v>88</v>
          </cell>
          <cell r="S18">
            <v>-388.80748031454812</v>
          </cell>
          <cell r="T18">
            <v>-336.28561908710185</v>
          </cell>
          <cell r="W18">
            <v>88</v>
          </cell>
          <cell r="Z18">
            <v>-364.40842118933699</v>
          </cell>
          <cell r="AA18">
            <v>-353.01620700516878</v>
          </cell>
          <cell r="AH18">
            <v>325</v>
          </cell>
          <cell r="AI18">
            <v>-138.77600000000001</v>
          </cell>
          <cell r="AJ18">
            <v>-130.899</v>
          </cell>
          <cell r="AO18">
            <v>325</v>
          </cell>
          <cell r="AP18">
            <v>-153.78</v>
          </cell>
          <cell r="AQ18">
            <v>-223.935</v>
          </cell>
        </row>
        <row r="19">
          <cell r="A19">
            <v>112</v>
          </cell>
          <cell r="D19">
            <v>-286.02285221703158</v>
          </cell>
          <cell r="E19">
            <v>-254.29968294468719</v>
          </cell>
          <cell r="H19">
            <v>112</v>
          </cell>
          <cell r="K19">
            <v>-291.38043775493384</v>
          </cell>
          <cell r="L19">
            <v>-249.65850966831988</v>
          </cell>
          <cell r="P19">
            <v>112</v>
          </cell>
          <cell r="S19">
            <v>-381.07671682773167</v>
          </cell>
          <cell r="T19">
            <v>-328.60101406701796</v>
          </cell>
          <cell r="W19">
            <v>112</v>
          </cell>
          <cell r="Z19">
            <v>-373.75898064743353</v>
          </cell>
          <cell r="AA19">
            <v>-345.95081497136039</v>
          </cell>
          <cell r="AH19">
            <v>375</v>
          </cell>
          <cell r="AI19">
            <v>-128.30600000000001</v>
          </cell>
          <cell r="AJ19">
            <v>-118.22199999999999</v>
          </cell>
          <cell r="AO19">
            <v>375</v>
          </cell>
          <cell r="AP19">
            <v>-203.72399999999999</v>
          </cell>
          <cell r="AQ19">
            <v>-229.85300000000001</v>
          </cell>
        </row>
        <row r="20">
          <cell r="A20">
            <v>144</v>
          </cell>
          <cell r="D20">
            <v>-270.11480730717795</v>
          </cell>
          <cell r="E20">
            <v>-246.23996681772391</v>
          </cell>
          <cell r="H20">
            <v>144</v>
          </cell>
          <cell r="K20">
            <v>-270.25334379560286</v>
          </cell>
          <cell r="L20">
            <v>-241.69195157481869</v>
          </cell>
          <cell r="P20">
            <v>144</v>
          </cell>
          <cell r="S20">
            <v>-351.97560651975596</v>
          </cell>
          <cell r="T20">
            <v>-320.52427009902965</v>
          </cell>
          <cell r="W20">
            <v>144</v>
          </cell>
          <cell r="Z20">
            <v>-355.55926327957707</v>
          </cell>
          <cell r="AA20">
            <v>-321.29008309265714</v>
          </cell>
          <cell r="AH20">
            <v>425</v>
          </cell>
          <cell r="AI20">
            <v>-118.021</v>
          </cell>
          <cell r="AJ20">
            <v>-107.093</v>
          </cell>
          <cell r="AO20">
            <v>425</v>
          </cell>
          <cell r="AP20">
            <v>-243.12100000000001</v>
          </cell>
          <cell r="AQ20">
            <v>-233.06700000000001</v>
          </cell>
        </row>
        <row r="21">
          <cell r="A21">
            <v>176</v>
          </cell>
          <cell r="D21">
            <v>-261.52695824893766</v>
          </cell>
          <cell r="E21">
            <v>-246.97997818783895</v>
          </cell>
          <cell r="H21">
            <v>176</v>
          </cell>
          <cell r="K21">
            <v>-252.58866899256785</v>
          </cell>
          <cell r="L21">
            <v>-237.93971042175647</v>
          </cell>
          <cell r="P21">
            <v>176</v>
          </cell>
          <cell r="S21">
            <v>-333.01086820867192</v>
          </cell>
          <cell r="T21">
            <v>-311.74771097988173</v>
          </cell>
          <cell r="W21">
            <v>176</v>
          </cell>
          <cell r="Z21">
            <v>-342.72126106516947</v>
          </cell>
          <cell r="AA21">
            <v>-309.08690184163419</v>
          </cell>
          <cell r="AH21">
            <v>475</v>
          </cell>
          <cell r="AI21">
            <v>-107.045</v>
          </cell>
          <cell r="AJ21">
            <v>-95.007000000000005</v>
          </cell>
          <cell r="AO21">
            <v>475</v>
          </cell>
          <cell r="AP21">
            <v>-241.756</v>
          </cell>
          <cell r="AQ21">
            <v>-229.148</v>
          </cell>
        </row>
        <row r="22">
          <cell r="A22">
            <v>208</v>
          </cell>
          <cell r="D22">
            <v>-251.96132781748824</v>
          </cell>
          <cell r="E22">
            <v>-245.7093788977601</v>
          </cell>
          <cell r="H22">
            <v>208</v>
          </cell>
          <cell r="K22">
            <v>-240.30824804091614</v>
          </cell>
          <cell r="L22">
            <v>-231.41779007024681</v>
          </cell>
          <cell r="P22">
            <v>208</v>
          </cell>
          <cell r="S22">
            <v>-321.85612489025704</v>
          </cell>
          <cell r="T22">
            <v>-293.04797290985704</v>
          </cell>
          <cell r="W22">
            <v>208</v>
          </cell>
          <cell r="Z22">
            <v>-332.13295148552083</v>
          </cell>
          <cell r="AA22">
            <v>-306.55441220510329</v>
          </cell>
          <cell r="AH22">
            <v>525</v>
          </cell>
          <cell r="AI22">
            <v>-96.843000000000004</v>
          </cell>
          <cell r="AJ22">
            <v>-86.012</v>
          </cell>
          <cell r="AO22">
            <v>525</v>
          </cell>
          <cell r="AP22">
            <v>-217.39699999999999</v>
          </cell>
          <cell r="AQ22">
            <v>-219.071</v>
          </cell>
        </row>
        <row r="23">
          <cell r="A23">
            <v>240</v>
          </cell>
          <cell r="D23">
            <v>-242.84499315844656</v>
          </cell>
          <cell r="E23">
            <v>-239.43265899480375</v>
          </cell>
          <cell r="H23">
            <v>240</v>
          </cell>
          <cell r="K23">
            <v>-231.15374146035305</v>
          </cell>
          <cell r="L23">
            <v>-225.23153163168985</v>
          </cell>
          <cell r="P23">
            <v>240</v>
          </cell>
          <cell r="S23">
            <v>-314.94952113151118</v>
          </cell>
          <cell r="T23">
            <v>-281.74291618128638</v>
          </cell>
          <cell r="W23">
            <v>240</v>
          </cell>
          <cell r="Z23">
            <v>-321.44500318332462</v>
          </cell>
          <cell r="AA23">
            <v>-305.49774896874499</v>
          </cell>
          <cell r="AH23">
            <v>575</v>
          </cell>
          <cell r="AI23">
            <v>-87.372</v>
          </cell>
          <cell r="AJ23">
            <v>-82.328000000000003</v>
          </cell>
          <cell r="AO23">
            <v>575</v>
          </cell>
          <cell r="AP23">
            <v>-197.072</v>
          </cell>
          <cell r="AQ23">
            <v>-206.91</v>
          </cell>
        </row>
        <row r="24">
          <cell r="A24">
            <v>288</v>
          </cell>
          <cell r="D24">
            <v>-227.05946903175644</v>
          </cell>
          <cell r="E24">
            <v>-227.27390653357051</v>
          </cell>
          <cell r="H24">
            <v>288</v>
          </cell>
          <cell r="K24">
            <v>-215.65322568821546</v>
          </cell>
          <cell r="L24">
            <v>-215.14654102993325</v>
          </cell>
          <cell r="P24">
            <v>288</v>
          </cell>
          <cell r="S24">
            <v>-290.58819170413852</v>
          </cell>
          <cell r="T24">
            <v>-264.59239751817819</v>
          </cell>
          <cell r="W24">
            <v>288</v>
          </cell>
          <cell r="Z24">
            <v>-305.1465447992166</v>
          </cell>
          <cell r="AA24">
            <v>-288.71753240661292</v>
          </cell>
          <cell r="AH24">
            <v>625</v>
          </cell>
          <cell r="AI24">
            <v>-76.751999999999995</v>
          </cell>
          <cell r="AJ24">
            <v>-77.923000000000002</v>
          </cell>
          <cell r="AO24">
            <v>625</v>
          </cell>
          <cell r="AP24">
            <v>-190.11699999999999</v>
          </cell>
          <cell r="AQ24">
            <v>-196.69900000000001</v>
          </cell>
        </row>
        <row r="25">
          <cell r="A25">
            <v>352</v>
          </cell>
          <cell r="D25">
            <v>-213.43858851760507</v>
          </cell>
          <cell r="E25">
            <v>-217.69518172818749</v>
          </cell>
          <cell r="H25">
            <v>352</v>
          </cell>
          <cell r="K25">
            <v>-197.48244939618047</v>
          </cell>
          <cell r="L25">
            <v>-204.25176702337819</v>
          </cell>
          <cell r="P25">
            <v>352</v>
          </cell>
          <cell r="S25">
            <v>-256.40594950652923</v>
          </cell>
          <cell r="T25">
            <v>-242.50891346184224</v>
          </cell>
          <cell r="W25">
            <v>352</v>
          </cell>
          <cell r="Z25">
            <v>-275.13837724010955</v>
          </cell>
          <cell r="AA25">
            <v>-261.0012949833573</v>
          </cell>
          <cell r="AH25">
            <v>675</v>
          </cell>
          <cell r="AI25">
            <v>-64.765000000000001</v>
          </cell>
          <cell r="AJ25">
            <v>-67.759</v>
          </cell>
          <cell r="AO25">
            <v>675</v>
          </cell>
          <cell r="AP25">
            <v>-189.49</v>
          </cell>
          <cell r="AQ25">
            <v>-188.45599999999999</v>
          </cell>
        </row>
        <row r="26">
          <cell r="A26">
            <v>448</v>
          </cell>
          <cell r="D26">
            <v>-182.7864946437216</v>
          </cell>
          <cell r="E26">
            <v>-197.2549552340439</v>
          </cell>
          <cell r="H26">
            <v>448</v>
          </cell>
          <cell r="K26">
            <v>-171.39439632849582</v>
          </cell>
          <cell r="L26">
            <v>-177.14757205427662</v>
          </cell>
          <cell r="P26">
            <v>448</v>
          </cell>
          <cell r="S26">
            <v>-213.46314470119884</v>
          </cell>
          <cell r="T26">
            <v>-209.08233302176896</v>
          </cell>
          <cell r="W26">
            <v>448</v>
          </cell>
          <cell r="Z26">
            <v>-230.9903083941135</v>
          </cell>
          <cell r="AA26">
            <v>-227.19634296966532</v>
          </cell>
          <cell r="AH26">
            <v>725</v>
          </cell>
          <cell r="AI26">
            <v>-53.203000000000003</v>
          </cell>
          <cell r="AJ26">
            <v>-55.497</v>
          </cell>
          <cell r="AO26">
            <v>725</v>
          </cell>
          <cell r="AP26">
            <v>-184.45099999999999</v>
          </cell>
          <cell r="AQ26">
            <v>-178.197</v>
          </cell>
        </row>
        <row r="27">
          <cell r="A27">
            <v>512</v>
          </cell>
          <cell r="D27">
            <v>-153.14565147248558</v>
          </cell>
          <cell r="E27">
            <v>-169.15031563667972</v>
          </cell>
          <cell r="H27">
            <v>512</v>
          </cell>
          <cell r="K27">
            <v>-142.60667032475175</v>
          </cell>
          <cell r="L27">
            <v>-147.7059916105116</v>
          </cell>
          <cell r="P27">
            <v>512</v>
          </cell>
          <cell r="S27">
            <v>-172.49742516715406</v>
          </cell>
          <cell r="T27">
            <v>-175.04630817681851</v>
          </cell>
          <cell r="W27">
            <v>512</v>
          </cell>
          <cell r="Z27">
            <v>-194.43049955633711</v>
          </cell>
          <cell r="AA27">
            <v>-194.97812655907381</v>
          </cell>
          <cell r="AH27">
            <v>775</v>
          </cell>
          <cell r="AI27">
            <v>-44.142000000000003</v>
          </cell>
          <cell r="AJ27">
            <v>-46.984999999999999</v>
          </cell>
          <cell r="AO27">
            <v>775</v>
          </cell>
          <cell r="AP27">
            <v>-172.40700000000001</v>
          </cell>
          <cell r="AQ27">
            <v>-163.26</v>
          </cell>
        </row>
        <row r="28">
          <cell r="A28">
            <v>576</v>
          </cell>
          <cell r="D28">
            <v>-138.32522988686759</v>
          </cell>
          <cell r="E28">
            <v>-155.09799583799764</v>
          </cell>
          <cell r="H28">
            <v>576</v>
          </cell>
          <cell r="K28">
            <v>-128.21280732287971</v>
          </cell>
          <cell r="L28">
            <v>-132.98520138862909</v>
          </cell>
          <cell r="P28">
            <v>576</v>
          </cell>
          <cell r="S28">
            <v>-152.01456540013166</v>
          </cell>
          <cell r="T28">
            <v>-158.0282957543433</v>
          </cell>
          <cell r="W28">
            <v>576</v>
          </cell>
          <cell r="Z28">
            <v>-176.1505951374489</v>
          </cell>
          <cell r="AA28">
            <v>-178.8690183537781</v>
          </cell>
          <cell r="AH28">
            <v>825</v>
          </cell>
          <cell r="AI28">
            <v>-38.945999999999998</v>
          </cell>
          <cell r="AJ28">
            <v>-42.978999999999999</v>
          </cell>
          <cell r="AO28">
            <v>825</v>
          </cell>
          <cell r="AP28">
            <v>-159.108</v>
          </cell>
          <cell r="AQ28">
            <v>-145.82400000000001</v>
          </cell>
        </row>
        <row r="29">
          <cell r="A29">
            <v>640</v>
          </cell>
          <cell r="D29">
            <v>-123.50480830124962</v>
          </cell>
          <cell r="E29">
            <v>-141.04567603931554</v>
          </cell>
          <cell r="H29">
            <v>640</v>
          </cell>
          <cell r="K29">
            <v>-113.81894432100765</v>
          </cell>
          <cell r="L29">
            <v>-118.26441116674658</v>
          </cell>
          <cell r="P29">
            <v>640</v>
          </cell>
          <cell r="S29">
            <v>-131.53170563310928</v>
          </cell>
          <cell r="T29">
            <v>-141.01028333186812</v>
          </cell>
          <cell r="W29">
            <v>640</v>
          </cell>
          <cell r="Z29">
            <v>-157.8706907185607</v>
          </cell>
          <cell r="AA29">
            <v>-162.75991014848233</v>
          </cell>
          <cell r="AH29">
            <v>875</v>
          </cell>
          <cell r="AI29">
            <v>-36.954000000000001</v>
          </cell>
          <cell r="AJ29">
            <v>-41.703000000000003</v>
          </cell>
          <cell r="AO29">
            <v>875</v>
          </cell>
          <cell r="AP29">
            <v>-148.345</v>
          </cell>
          <cell r="AQ29">
            <v>-130.322</v>
          </cell>
        </row>
        <row r="30">
          <cell r="A30">
            <v>768</v>
          </cell>
          <cell r="D30">
            <v>-95.273401481208253</v>
          </cell>
          <cell r="E30">
            <v>-111.50118975097647</v>
          </cell>
          <cell r="H30">
            <v>768</v>
          </cell>
          <cell r="K30">
            <v>-83.563891310157388</v>
          </cell>
          <cell r="L30">
            <v>-88.191608437912336</v>
          </cell>
          <cell r="P30">
            <v>768</v>
          </cell>
          <cell r="S30">
            <v>-100.18731458118241</v>
          </cell>
          <cell r="T30">
            <v>-108.21698431794825</v>
          </cell>
          <cell r="W30">
            <v>768</v>
          </cell>
          <cell r="Z30">
            <v>-121.18201494941702</v>
          </cell>
          <cell r="AA30">
            <v>-124.49501766113498</v>
          </cell>
          <cell r="AH30">
            <v>925</v>
          </cell>
          <cell r="AI30">
            <v>-35.945</v>
          </cell>
          <cell r="AJ30">
            <v>-42.228999999999999</v>
          </cell>
          <cell r="AO30">
            <v>925</v>
          </cell>
          <cell r="AP30">
            <v>-138.44200000000001</v>
          </cell>
          <cell r="AQ30">
            <v>-118.706</v>
          </cell>
        </row>
        <row r="31">
          <cell r="A31">
            <v>896</v>
          </cell>
          <cell r="D31">
            <v>-81.157698071187582</v>
          </cell>
          <cell r="E31">
            <v>-96.728946606806915</v>
          </cell>
          <cell r="H31">
            <v>896</v>
          </cell>
          <cell r="K31">
            <v>-68.43636480473225</v>
          </cell>
          <cell r="L31">
            <v>-73.155207073495205</v>
          </cell>
          <cell r="P31">
            <v>896</v>
          </cell>
          <cell r="S31">
            <v>-84.515119055218975</v>
          </cell>
          <cell r="T31">
            <v>-91.8203348109883</v>
          </cell>
          <cell r="W31">
            <v>896</v>
          </cell>
          <cell r="Z31">
            <v>-102.8376770648452</v>
          </cell>
          <cell r="AA31">
            <v>-105.36257141746131</v>
          </cell>
          <cell r="AH31">
            <v>975</v>
          </cell>
          <cell r="AI31">
            <v>-34.908999999999999</v>
          </cell>
          <cell r="AJ31">
            <v>-43.457000000000001</v>
          </cell>
          <cell r="AO31">
            <v>975</v>
          </cell>
          <cell r="AP31">
            <v>-128.197</v>
          </cell>
          <cell r="AQ31">
            <v>-109.20099999999999</v>
          </cell>
        </row>
        <row r="32">
          <cell r="A32">
            <v>1024</v>
          </cell>
          <cell r="D32">
            <v>-67.041994661166896</v>
          </cell>
          <cell r="E32">
            <v>-81.956703462637378</v>
          </cell>
          <cell r="H32">
            <v>1024</v>
          </cell>
          <cell r="K32">
            <v>-53.308838299307105</v>
          </cell>
          <cell r="L32">
            <v>-58.118805709078082</v>
          </cell>
          <cell r="P32">
            <v>1024</v>
          </cell>
          <cell r="S32">
            <v>-68.842923529255543</v>
          </cell>
          <cell r="T32">
            <v>-75.423685304028382</v>
          </cell>
          <cell r="W32">
            <v>1024</v>
          </cell>
          <cell r="Z32">
            <v>-84.493339180273367</v>
          </cell>
          <cell r="AA32">
            <v>-86.230125173787613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"/>
  <sheetViews>
    <sheetView topLeftCell="A7" workbookViewId="0">
      <selection activeCell="P39" sqref="P39"/>
    </sheetView>
  </sheetViews>
  <sheetFormatPr defaultRowHeight="15" x14ac:dyDescent="0.25"/>
  <cols>
    <col min="1" max="1" width="33.5703125" customWidth="1"/>
  </cols>
  <sheetData>
    <row r="1" spans="1:23" ht="16.5" thickTop="1" thickBot="1" x14ac:dyDescent="0.3">
      <c r="A1" s="214" t="s">
        <v>150</v>
      </c>
      <c r="B1" s="214"/>
      <c r="C1" s="214"/>
      <c r="D1" s="214"/>
      <c r="E1" s="214"/>
      <c r="F1" s="214"/>
      <c r="G1" s="214"/>
      <c r="H1" s="214"/>
      <c r="I1" s="215"/>
      <c r="J1" s="215"/>
      <c r="K1" s="215"/>
      <c r="L1" s="215"/>
      <c r="M1" s="215"/>
      <c r="N1" s="215"/>
      <c r="O1" s="215"/>
      <c r="P1" s="215"/>
      <c r="Q1" s="215"/>
      <c r="R1" s="215"/>
      <c r="S1" s="215"/>
      <c r="T1" s="215"/>
      <c r="U1" s="10"/>
      <c r="V1" s="10"/>
      <c r="W1" s="10"/>
    </row>
    <row r="2" spans="1:23" ht="15.75" thickTop="1" x14ac:dyDescent="0.25">
      <c r="A2" s="216" t="s">
        <v>151</v>
      </c>
      <c r="B2" s="216" t="s">
        <v>152</v>
      </c>
      <c r="C2" s="216">
        <v>0.14099999999999999</v>
      </c>
      <c r="D2" s="216">
        <v>0.182</v>
      </c>
      <c r="E2" s="216">
        <v>1.06</v>
      </c>
      <c r="F2" s="216">
        <v>0.61699999999999999</v>
      </c>
      <c r="G2" s="216">
        <v>2.42</v>
      </c>
      <c r="H2" s="216">
        <v>-0.155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</row>
    <row r="3" spans="1:23" x14ac:dyDescent="0.25">
      <c r="A3" s="216" t="s">
        <v>153</v>
      </c>
      <c r="B3" s="216" t="s">
        <v>152</v>
      </c>
      <c r="C3" s="216">
        <v>0.315</v>
      </c>
      <c r="D3" s="216">
        <v>0.39300000000000002</v>
      </c>
      <c r="E3" s="216">
        <v>2.17</v>
      </c>
      <c r="F3" s="216">
        <v>1.1599999999999999</v>
      </c>
      <c r="G3" s="216">
        <v>2.85</v>
      </c>
      <c r="H3" s="216">
        <v>-3.6600000000000001E-2</v>
      </c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</row>
    <row r="4" spans="1:23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</row>
    <row r="5" spans="1:23" x14ac:dyDescent="0.25">
      <c r="A5" s="217" t="s">
        <v>154</v>
      </c>
      <c r="B5" s="217" t="s">
        <v>155</v>
      </c>
      <c r="C5" s="218">
        <v>0.373</v>
      </c>
      <c r="D5" s="218">
        <v>0.48</v>
      </c>
      <c r="E5" s="218">
        <v>2.31</v>
      </c>
      <c r="F5" s="218">
        <v>1.1100000000000001</v>
      </c>
      <c r="G5" s="218">
        <v>4.25</v>
      </c>
      <c r="H5" s="218">
        <v>9.8900000000000002E-2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</row>
    <row r="6" spans="1:23" ht="15.75" thickBot="1" x14ac:dyDescent="0.3">
      <c r="A6" s="217" t="s">
        <v>156</v>
      </c>
      <c r="B6" s="217" t="s">
        <v>155</v>
      </c>
      <c r="C6" s="218">
        <v>0.41799999999999998</v>
      </c>
      <c r="D6" s="218">
        <v>0.51400000000000001</v>
      </c>
      <c r="E6" s="218">
        <v>2.54</v>
      </c>
      <c r="F6" s="218">
        <v>1.24</v>
      </c>
      <c r="G6" s="218">
        <v>3.34</v>
      </c>
      <c r="H6" s="218">
        <v>5.45E-2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</row>
    <row r="7" spans="1:23" x14ac:dyDescent="0.25">
      <c r="A7" s="217" t="s">
        <v>157</v>
      </c>
      <c r="B7" s="217" t="s">
        <v>155</v>
      </c>
      <c r="C7" s="218">
        <v>0.51300000000000001</v>
      </c>
      <c r="D7" s="218">
        <v>0.65</v>
      </c>
      <c r="E7" s="218">
        <v>4.22</v>
      </c>
      <c r="F7" s="218">
        <v>1.61</v>
      </c>
      <c r="G7" s="218">
        <v>15.9</v>
      </c>
      <c r="H7" s="218">
        <v>0.31</v>
      </c>
      <c r="I7" s="10"/>
      <c r="J7" s="10"/>
      <c r="K7" s="10"/>
      <c r="L7" s="10"/>
      <c r="M7" s="219" t="s">
        <v>33</v>
      </c>
      <c r="N7" s="220" t="s">
        <v>158</v>
      </c>
      <c r="O7" s="221" t="s">
        <v>159</v>
      </c>
      <c r="P7" s="222" t="s">
        <v>160</v>
      </c>
      <c r="Q7" s="223" t="s">
        <v>161</v>
      </c>
      <c r="R7" s="223" t="s">
        <v>162</v>
      </c>
      <c r="S7" s="224" t="s">
        <v>163</v>
      </c>
      <c r="T7" s="222" t="s">
        <v>160</v>
      </c>
      <c r="U7" s="223" t="s">
        <v>161</v>
      </c>
      <c r="V7" s="223" t="s">
        <v>162</v>
      </c>
      <c r="W7" s="224" t="s">
        <v>163</v>
      </c>
    </row>
    <row r="8" spans="1:23" ht="15.75" thickBot="1" x14ac:dyDescent="0.3">
      <c r="A8" s="217" t="s">
        <v>164</v>
      </c>
      <c r="B8" s="217" t="s">
        <v>155</v>
      </c>
      <c r="C8" s="218">
        <v>0.33900000000000002</v>
      </c>
      <c r="D8" s="218">
        <v>0.40899999999999997</v>
      </c>
      <c r="E8" s="218">
        <v>1.91</v>
      </c>
      <c r="F8" s="218">
        <v>0.95599999999999996</v>
      </c>
      <c r="G8" s="218">
        <v>2.66</v>
      </c>
      <c r="H8" s="218">
        <v>1.0200000000000001E-2</v>
      </c>
      <c r="I8" s="10"/>
      <c r="J8" s="10"/>
      <c r="K8" s="10"/>
      <c r="L8" s="10"/>
      <c r="M8" s="225"/>
      <c r="N8" s="226"/>
      <c r="O8" s="227"/>
      <c r="P8" s="228" t="s">
        <v>165</v>
      </c>
      <c r="Q8" s="229"/>
      <c r="R8" s="229"/>
      <c r="S8" s="230"/>
      <c r="T8" s="228" t="s">
        <v>165</v>
      </c>
      <c r="U8" s="229"/>
      <c r="V8" s="229"/>
      <c r="W8" s="230"/>
    </row>
    <row r="9" spans="1:23" x14ac:dyDescent="0.25">
      <c r="A9" s="217" t="s">
        <v>166</v>
      </c>
      <c r="B9" s="217" t="s">
        <v>155</v>
      </c>
      <c r="C9" s="218">
        <v>0.75190000000000001</v>
      </c>
      <c r="D9" s="218">
        <v>0.89100000000000001</v>
      </c>
      <c r="E9" s="218">
        <v>3.2835999999999999</v>
      </c>
      <c r="F9" s="218">
        <v>1.7949999999999999</v>
      </c>
      <c r="G9" s="218">
        <v>5.8898000000000001</v>
      </c>
      <c r="H9" s="218">
        <v>-0.35189999999999999</v>
      </c>
      <c r="I9" s="10"/>
      <c r="J9" s="10"/>
      <c r="K9" s="10"/>
      <c r="L9" s="10"/>
      <c r="M9" s="231" t="s">
        <v>167</v>
      </c>
      <c r="N9" s="232">
        <v>585</v>
      </c>
      <c r="O9" s="233" t="s">
        <v>168</v>
      </c>
      <c r="P9" s="234">
        <f>AVERAGE(C5:C6)</f>
        <v>0.39549999999999996</v>
      </c>
      <c r="Q9" s="235">
        <f>AVERAGE(E5:E6)</f>
        <v>2.4249999999999998</v>
      </c>
      <c r="R9" s="235">
        <f>AVERAGE(G5:G6)</f>
        <v>3.7949999999999999</v>
      </c>
      <c r="S9" s="236">
        <f>AVERAGE(H5:H6)</f>
        <v>7.6700000000000004E-2</v>
      </c>
      <c r="T9" s="237"/>
      <c r="U9" s="238"/>
      <c r="V9" s="238"/>
      <c r="W9" s="239"/>
    </row>
    <row r="10" spans="1:23" x14ac:dyDescent="0.25">
      <c r="A10" s="217" t="s">
        <v>169</v>
      </c>
      <c r="B10" s="217" t="s">
        <v>155</v>
      </c>
      <c r="C10" s="218">
        <v>0.73260000000000003</v>
      </c>
      <c r="D10" s="218">
        <v>0.87060000000000004</v>
      </c>
      <c r="E10" s="218">
        <v>3.4617</v>
      </c>
      <c r="F10" s="218">
        <v>1.8577999999999999</v>
      </c>
      <c r="G10" s="218">
        <v>4.4363999999999999</v>
      </c>
      <c r="H10" s="218">
        <v>-0.33789999999999998</v>
      </c>
      <c r="I10" s="10"/>
      <c r="J10" s="10"/>
      <c r="K10" s="10"/>
      <c r="L10" s="10"/>
      <c r="M10" s="240" t="s">
        <v>170</v>
      </c>
      <c r="N10" s="241">
        <v>400</v>
      </c>
      <c r="O10" s="242" t="s">
        <v>171</v>
      </c>
      <c r="P10" s="243">
        <f>AVERAGE(C7:C8)</f>
        <v>0.42600000000000005</v>
      </c>
      <c r="Q10" s="244">
        <f>AVERAGE(E7:E8)</f>
        <v>3.0649999999999999</v>
      </c>
      <c r="R10" s="244">
        <f>AVERAGE(G7:G8)</f>
        <v>9.2800000000000011</v>
      </c>
      <c r="S10" s="245">
        <f>AVERAGE(H7:H8)</f>
        <v>0.16009999999999999</v>
      </c>
      <c r="T10" s="246"/>
      <c r="U10" s="217"/>
      <c r="V10" s="217"/>
      <c r="W10" s="247"/>
    </row>
    <row r="11" spans="1:23" x14ac:dyDescent="0.25">
      <c r="A11" s="217" t="s">
        <v>172</v>
      </c>
      <c r="B11" s="218" t="s">
        <v>155</v>
      </c>
      <c r="C11" s="218">
        <v>0.68189999999999995</v>
      </c>
      <c r="D11" s="218">
        <v>0.82650000000000001</v>
      </c>
      <c r="E11" s="218">
        <v>3.1846999999999999</v>
      </c>
      <c r="F11" s="218">
        <v>1.7357</v>
      </c>
      <c r="G11" s="218">
        <v>4.2007000000000003</v>
      </c>
      <c r="H11" s="218">
        <v>-0.34300000000000003</v>
      </c>
      <c r="I11" s="10"/>
      <c r="J11" s="10"/>
      <c r="K11" s="10"/>
      <c r="L11" s="10"/>
      <c r="M11" s="240" t="s">
        <v>173</v>
      </c>
      <c r="N11" s="241">
        <v>400</v>
      </c>
      <c r="O11" s="242" t="s">
        <v>171</v>
      </c>
      <c r="P11" s="243">
        <f>AVERAGE(C9:C11)</f>
        <v>0.7221333333333334</v>
      </c>
      <c r="Q11" s="244">
        <f>AVERAGE(E9:E11)</f>
        <v>3.31</v>
      </c>
      <c r="R11" s="244">
        <f>AVERAGE(F9:F11)</f>
        <v>1.7961666666666669</v>
      </c>
      <c r="S11" s="245">
        <f>AVERAGE(H9:H11)</f>
        <v>-0.34426666666666667</v>
      </c>
      <c r="T11" s="243">
        <f>C12</f>
        <v>0.42149999999999999</v>
      </c>
      <c r="U11" s="244">
        <f>E12</f>
        <v>2.5558000000000001</v>
      </c>
      <c r="V11" s="244">
        <f>G12</f>
        <v>3.5335999999999999</v>
      </c>
      <c r="W11" s="245">
        <f>H12</f>
        <v>-0.23139999999999999</v>
      </c>
    </row>
    <row r="12" spans="1:23" x14ac:dyDescent="0.25">
      <c r="A12" s="217" t="s">
        <v>174</v>
      </c>
      <c r="B12" s="218" t="s">
        <v>155</v>
      </c>
      <c r="C12" s="218">
        <v>0.42149999999999999</v>
      </c>
      <c r="D12" s="218">
        <v>0.52890000000000004</v>
      </c>
      <c r="E12" s="218">
        <v>2.5558000000000001</v>
      </c>
      <c r="F12" s="218">
        <v>1.3571</v>
      </c>
      <c r="G12" s="218">
        <v>3.5335999999999999</v>
      </c>
      <c r="H12" s="218">
        <v>-0.23139999999999999</v>
      </c>
      <c r="I12" s="10"/>
      <c r="J12" s="10"/>
      <c r="K12" s="10"/>
      <c r="L12" s="10"/>
      <c r="M12" s="248" t="s">
        <v>175</v>
      </c>
      <c r="N12" s="249">
        <v>400</v>
      </c>
      <c r="O12" s="250" t="s">
        <v>176</v>
      </c>
      <c r="P12" s="251">
        <f>AVERAGE(C13:C15)</f>
        <v>1.0585000000000002</v>
      </c>
      <c r="Q12" s="252">
        <f>AVERAGE(E13:E15)</f>
        <v>4.7715666666666658</v>
      </c>
      <c r="R12" s="252">
        <f>AVERAGE(G13:G15)</f>
        <v>7.1617666666666677</v>
      </c>
      <c r="S12" s="253">
        <f>AVERAGE(H13:H15)</f>
        <v>-0.44146666666666667</v>
      </c>
      <c r="T12" s="251">
        <f>AVERAGE(C16)</f>
        <v>0.33900000000000002</v>
      </c>
      <c r="U12" s="252">
        <f>AVERAGE(E16)</f>
        <v>2.3399000000000001</v>
      </c>
      <c r="V12" s="252">
        <f>AVERAGE(G16)</f>
        <v>3.0272000000000001</v>
      </c>
      <c r="W12" s="253">
        <f>AVERAGE(H16)</f>
        <v>0.39839999999999998</v>
      </c>
    </row>
    <row r="13" spans="1:23" x14ac:dyDescent="0.25">
      <c r="A13" s="217" t="s">
        <v>177</v>
      </c>
      <c r="B13" s="218" t="s">
        <v>155</v>
      </c>
      <c r="C13" s="218">
        <v>1.0679000000000001</v>
      </c>
      <c r="D13" s="218">
        <v>1.2436</v>
      </c>
      <c r="E13" s="218">
        <v>4.7591000000000001</v>
      </c>
      <c r="F13" s="218">
        <v>2.5442</v>
      </c>
      <c r="G13" s="218">
        <v>7.0430999999999999</v>
      </c>
      <c r="H13" s="218">
        <v>-0.32769999999999999</v>
      </c>
      <c r="I13" s="10"/>
      <c r="J13" s="10"/>
      <c r="K13" s="10"/>
      <c r="L13" s="10"/>
      <c r="M13" s="254" t="s">
        <v>178</v>
      </c>
      <c r="N13" s="255">
        <v>585</v>
      </c>
      <c r="O13" s="256" t="s">
        <v>179</v>
      </c>
      <c r="P13" s="257">
        <f>AVERAGE(C17:C19)</f>
        <v>1.0064666666666666</v>
      </c>
      <c r="Q13" s="258">
        <f>AVERAGE(E17:E19)</f>
        <v>4.5845999999999991</v>
      </c>
      <c r="R13" s="258">
        <f>AVERAGE(G17:G19)</f>
        <v>6.3885999999999994</v>
      </c>
      <c r="S13" s="259">
        <f>AVERAGE(H17:H19)</f>
        <v>-2.1233333333333337E-2</v>
      </c>
      <c r="T13" s="257">
        <f>C20</f>
        <v>0.59209999999999996</v>
      </c>
      <c r="U13" s="258">
        <f>E20</f>
        <v>2.8778999999999999</v>
      </c>
      <c r="V13" s="258">
        <f>G20</f>
        <v>3.6560999999999999</v>
      </c>
      <c r="W13" s="259">
        <f>H20</f>
        <v>0.4657</v>
      </c>
    </row>
    <row r="14" spans="1:23" ht="15.75" thickBot="1" x14ac:dyDescent="0.3">
      <c r="A14" s="217" t="s">
        <v>180</v>
      </c>
      <c r="B14" s="218" t="s">
        <v>155</v>
      </c>
      <c r="C14" s="218">
        <v>1.1305000000000001</v>
      </c>
      <c r="D14" s="218">
        <v>1.2972999999999999</v>
      </c>
      <c r="E14" s="218">
        <v>4.9379999999999997</v>
      </c>
      <c r="F14" s="218">
        <v>2.7073999999999998</v>
      </c>
      <c r="G14" s="218">
        <v>7.2141999999999999</v>
      </c>
      <c r="H14" s="218">
        <v>-0.38169999999999998</v>
      </c>
      <c r="I14" s="10"/>
      <c r="J14" s="10"/>
      <c r="K14" s="10"/>
      <c r="L14" s="10"/>
      <c r="M14" s="260" t="s">
        <v>181</v>
      </c>
      <c r="N14" s="261">
        <v>540</v>
      </c>
      <c r="O14" s="262" t="s">
        <v>179</v>
      </c>
      <c r="P14" s="263">
        <f>AVERAGE(C21:C22)</f>
        <v>1.3125</v>
      </c>
      <c r="Q14" s="264">
        <f>AVERAGE(E21:E22)</f>
        <v>5.2431000000000001</v>
      </c>
      <c r="R14" s="264">
        <f>AVERAGE(G21:G22)</f>
        <v>6.1317000000000004</v>
      </c>
      <c r="S14" s="265">
        <f>AVERAGE(H21:H22)</f>
        <v>-0.38334999999999997</v>
      </c>
      <c r="T14" s="263">
        <f>C23</f>
        <v>0.48720000000000002</v>
      </c>
      <c r="U14" s="264">
        <f>E23</f>
        <v>2.8953000000000002</v>
      </c>
      <c r="V14" s="264">
        <f>G23</f>
        <v>1.1123000000000001</v>
      </c>
      <c r="W14" s="265">
        <f>H23</f>
        <v>-8.4199999999999997E-2</v>
      </c>
    </row>
    <row r="15" spans="1:23" x14ac:dyDescent="0.25">
      <c r="A15" s="217" t="s">
        <v>182</v>
      </c>
      <c r="B15" s="218" t="s">
        <v>155</v>
      </c>
      <c r="C15" s="218">
        <v>0.97709999999999997</v>
      </c>
      <c r="D15" s="218">
        <v>1.1674</v>
      </c>
      <c r="E15" s="218">
        <v>4.6176000000000004</v>
      </c>
      <c r="F15" s="218">
        <v>2.7410999999999999</v>
      </c>
      <c r="G15" s="218">
        <v>7.2279999999999998</v>
      </c>
      <c r="H15" s="218">
        <v>-0.61499999999999999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</row>
    <row r="16" spans="1:23" x14ac:dyDescent="0.25">
      <c r="A16" s="217" t="s">
        <v>183</v>
      </c>
      <c r="B16" s="218" t="s">
        <v>155</v>
      </c>
      <c r="C16" s="218">
        <v>0.33900000000000002</v>
      </c>
      <c r="D16" s="218">
        <v>0.49359999999999998</v>
      </c>
      <c r="E16" s="218">
        <v>2.3399000000000001</v>
      </c>
      <c r="F16" s="218">
        <v>1.0909</v>
      </c>
      <c r="G16" s="218">
        <v>3.0272000000000001</v>
      </c>
      <c r="H16" s="218">
        <v>0.39839999999999998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</row>
    <row r="17" spans="1:23" x14ac:dyDescent="0.25">
      <c r="A17" s="217" t="s">
        <v>184</v>
      </c>
      <c r="B17" s="218" t="s">
        <v>155</v>
      </c>
      <c r="C17" s="218">
        <v>1.0235000000000001</v>
      </c>
      <c r="D17" s="218">
        <v>1.2012</v>
      </c>
      <c r="E17" s="218">
        <v>4.6318999999999999</v>
      </c>
      <c r="F17" s="10">
        <v>2.738</v>
      </c>
      <c r="G17" s="218">
        <v>7.2577999999999996</v>
      </c>
      <c r="H17" s="218">
        <v>-0.4138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</row>
    <row r="18" spans="1:23" x14ac:dyDescent="0.25">
      <c r="A18" s="217" t="s">
        <v>185</v>
      </c>
      <c r="B18" s="218" t="s">
        <v>155</v>
      </c>
      <c r="C18" s="218">
        <v>1.0509999999999999</v>
      </c>
      <c r="D18" s="218">
        <v>1.2455000000000001</v>
      </c>
      <c r="E18" s="218">
        <v>4.9034000000000004</v>
      </c>
      <c r="F18" s="218">
        <v>2.9411999999999998</v>
      </c>
      <c r="G18" s="218">
        <v>6.3158000000000003</v>
      </c>
      <c r="H18" s="218">
        <v>0.5968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</row>
    <row r="19" spans="1:23" x14ac:dyDescent="0.25">
      <c r="A19" s="217" t="s">
        <v>186</v>
      </c>
      <c r="B19" s="218" t="s">
        <v>155</v>
      </c>
      <c r="C19" s="218">
        <v>0.94489999999999996</v>
      </c>
      <c r="D19" s="10">
        <v>1.0934999999999999</v>
      </c>
      <c r="E19" s="218">
        <v>4.2184999999999997</v>
      </c>
      <c r="F19" s="218">
        <v>2.4706999999999999</v>
      </c>
      <c r="G19" s="218">
        <v>5.5922000000000001</v>
      </c>
      <c r="H19" s="218">
        <v>-0.2467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</row>
    <row r="20" spans="1:23" x14ac:dyDescent="0.25">
      <c r="A20" s="217" t="s">
        <v>187</v>
      </c>
      <c r="B20" s="218" t="s">
        <v>155</v>
      </c>
      <c r="C20" s="218">
        <v>0.59209999999999996</v>
      </c>
      <c r="D20" s="218">
        <v>0.68189999999999995</v>
      </c>
      <c r="E20" s="218">
        <v>2.8778999999999999</v>
      </c>
      <c r="F20" s="218">
        <v>1.327</v>
      </c>
      <c r="G20" s="218">
        <v>3.6560999999999999</v>
      </c>
      <c r="H20" s="218">
        <v>0.4657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</row>
    <row r="21" spans="1:23" x14ac:dyDescent="0.25">
      <c r="A21" s="217" t="s">
        <v>188</v>
      </c>
      <c r="B21" s="266" t="s">
        <v>155</v>
      </c>
      <c r="C21" s="266">
        <v>1.296</v>
      </c>
      <c r="D21" s="266">
        <v>1.4721</v>
      </c>
      <c r="E21" s="266">
        <v>4.9851999999999999</v>
      </c>
      <c r="F21" s="266">
        <v>2.8593000000000002</v>
      </c>
      <c r="G21" s="266">
        <v>6.7624000000000004</v>
      </c>
      <c r="H21" s="266">
        <v>-0.36659999999999998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</row>
    <row r="22" spans="1:23" x14ac:dyDescent="0.25">
      <c r="A22" s="217" t="s">
        <v>189</v>
      </c>
      <c r="B22" s="266" t="s">
        <v>155</v>
      </c>
      <c r="C22" s="266">
        <v>1.329</v>
      </c>
      <c r="D22" s="266">
        <v>1.5274000000000001</v>
      </c>
      <c r="E22" s="266">
        <v>5.5010000000000003</v>
      </c>
      <c r="F22" s="266">
        <v>3.0956999999999999</v>
      </c>
      <c r="G22" s="266">
        <v>5.5010000000000003</v>
      </c>
      <c r="H22" s="266">
        <v>-0.40010000000000001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</row>
    <row r="23" spans="1:23" x14ac:dyDescent="0.25">
      <c r="A23" s="217" t="s">
        <v>190</v>
      </c>
      <c r="B23" s="266" t="s">
        <v>155</v>
      </c>
      <c r="C23" s="266">
        <v>0.48720000000000002</v>
      </c>
      <c r="D23" s="266">
        <v>0.58260000000000001</v>
      </c>
      <c r="E23" s="266">
        <v>2.8953000000000002</v>
      </c>
      <c r="F23" s="266">
        <v>1.5523</v>
      </c>
      <c r="G23" s="266">
        <v>1.1123000000000001</v>
      </c>
      <c r="H23" s="266">
        <v>-8.4199999999999997E-2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</row>
    <row r="24" spans="1:23" ht="15.75" thickBot="1" x14ac:dyDescent="0.3">
      <c r="A24" s="267"/>
      <c r="B24" s="266"/>
      <c r="C24" s="266"/>
      <c r="D24" s="266"/>
      <c r="E24" s="266"/>
      <c r="F24" s="266"/>
      <c r="G24" s="266"/>
      <c r="H24" s="266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</row>
    <row r="25" spans="1:23" ht="16.5" thickTop="1" thickBot="1" x14ac:dyDescent="0.3">
      <c r="A25" s="10"/>
      <c r="B25" s="10"/>
      <c r="C25" s="268" t="s">
        <v>191</v>
      </c>
      <c r="D25" s="269"/>
      <c r="E25" s="269"/>
      <c r="F25" s="269"/>
      <c r="G25" s="269"/>
      <c r="H25" s="27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</row>
    <row r="26" spans="1:23" ht="15.75" thickTop="1" x14ac:dyDescent="0.25">
      <c r="A26" s="217" t="s">
        <v>192</v>
      </c>
      <c r="B26" s="217" t="s">
        <v>193</v>
      </c>
      <c r="C26" s="218">
        <v>4.8500000000000001E-2</v>
      </c>
      <c r="D26" s="218">
        <v>5.6000000000000001E-2</v>
      </c>
      <c r="E26" s="218">
        <v>0.22900000000000001</v>
      </c>
      <c r="F26" s="218">
        <v>0.11</v>
      </c>
      <c r="G26" s="218">
        <v>0.104</v>
      </c>
      <c r="H26" s="218">
        <v>0.104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</row>
    <row r="27" spans="1:23" x14ac:dyDescent="0.25">
      <c r="A27" s="217" t="s">
        <v>194</v>
      </c>
      <c r="B27" s="217" t="s">
        <v>193</v>
      </c>
      <c r="C27" s="218">
        <v>1.8200000000000001E-2</v>
      </c>
      <c r="D27" s="218">
        <v>2.0899999999999998E-2</v>
      </c>
      <c r="E27" s="218">
        <v>8.8599999999999998E-2</v>
      </c>
      <c r="F27" s="218">
        <v>4.24E-2</v>
      </c>
      <c r="G27" s="218">
        <v>0.154</v>
      </c>
      <c r="H27" s="218">
        <v>8.1100000000000005E-2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</row>
    <row r="28" spans="1:23" ht="15.75" thickBot="1" x14ac:dyDescent="0.3">
      <c r="A28" s="217" t="s">
        <v>195</v>
      </c>
      <c r="B28" s="217" t="s">
        <v>193</v>
      </c>
      <c r="C28" s="218">
        <v>5.0700000000000002E-2</v>
      </c>
      <c r="D28" s="218">
        <v>5.8900000000000001E-2</v>
      </c>
      <c r="E28" s="218">
        <v>0.248</v>
      </c>
      <c r="F28" s="218">
        <v>0.123</v>
      </c>
      <c r="G28" s="218">
        <v>0.55100000000000005</v>
      </c>
      <c r="H28" s="218">
        <v>4.0899999999999999E-2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</row>
    <row r="29" spans="1:23" ht="16.5" thickTop="1" thickBot="1" x14ac:dyDescent="0.3">
      <c r="A29" s="217" t="s">
        <v>196</v>
      </c>
      <c r="B29" s="217" t="s">
        <v>193</v>
      </c>
      <c r="C29" s="218">
        <v>2.4400000000000002E-2</v>
      </c>
      <c r="D29" s="218">
        <v>2.8400000000000002E-2</v>
      </c>
      <c r="E29" s="218">
        <v>0.122</v>
      </c>
      <c r="F29" s="218">
        <v>6.13E-2</v>
      </c>
      <c r="G29" s="218">
        <v>0.2</v>
      </c>
      <c r="H29" s="218">
        <v>3.0300000000000001E-2</v>
      </c>
      <c r="I29" s="10"/>
      <c r="J29" s="10"/>
      <c r="K29" s="10"/>
      <c r="L29" s="10"/>
      <c r="M29" s="271" t="s">
        <v>197</v>
      </c>
      <c r="N29" s="271" t="s">
        <v>198</v>
      </c>
      <c r="O29" s="271" t="s">
        <v>199</v>
      </c>
      <c r="P29" s="10"/>
      <c r="Q29" s="10"/>
      <c r="R29" s="10"/>
      <c r="S29" s="10"/>
      <c r="T29" s="10"/>
      <c r="U29" s="10"/>
      <c r="V29" s="10"/>
      <c r="W29" s="10"/>
    </row>
    <row r="30" spans="1:23" ht="15.75" thickTop="1" x14ac:dyDescent="0.25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272" t="s">
        <v>200</v>
      </c>
      <c r="M30" s="273">
        <f>AVERAGE(C26:C29)</f>
        <v>3.5450000000000002E-2</v>
      </c>
      <c r="N30" s="273">
        <f>AVERAGE(C2:C3)</f>
        <v>0.22799999999999998</v>
      </c>
      <c r="O30" s="273">
        <f>AVERAGE(C5:C23)</f>
        <v>0.76153157894736845</v>
      </c>
      <c r="P30" s="10"/>
      <c r="Q30" s="10"/>
      <c r="R30" s="10"/>
      <c r="S30" s="10"/>
      <c r="T30" s="10"/>
      <c r="U30" s="10"/>
      <c r="V30" s="10"/>
      <c r="W30" s="10"/>
    </row>
    <row r="31" spans="1:23" x14ac:dyDescent="0.25">
      <c r="A31" s="10" t="s">
        <v>201</v>
      </c>
      <c r="B31" s="10" t="s">
        <v>202</v>
      </c>
      <c r="C31" s="10"/>
      <c r="D31" s="10"/>
      <c r="E31" s="10"/>
      <c r="F31" s="10"/>
      <c r="G31" s="10"/>
      <c r="H31" s="10"/>
      <c r="I31" s="10"/>
      <c r="J31" s="10"/>
      <c r="K31" s="10"/>
      <c r="L31" s="272" t="s">
        <v>203</v>
      </c>
      <c r="M31" s="273">
        <f>AVERAGE(D26:D29)</f>
        <v>4.1050000000000003E-2</v>
      </c>
      <c r="N31" s="273">
        <f>AVERAGE(D2:D3)</f>
        <v>0.28749999999999998</v>
      </c>
      <c r="O31" s="273">
        <f>AVERAGE(D5:D23)</f>
        <v>0.90400526315789465</v>
      </c>
      <c r="P31" s="10"/>
      <c r="Q31" s="10"/>
      <c r="R31" s="10"/>
      <c r="S31" s="10"/>
      <c r="T31" s="10"/>
      <c r="U31" s="10"/>
      <c r="V31" s="10"/>
      <c r="W31" s="10"/>
    </row>
    <row r="32" spans="1:23" x14ac:dyDescent="0.25">
      <c r="A32" s="10" t="s">
        <v>204</v>
      </c>
      <c r="B32" s="10" t="s">
        <v>205</v>
      </c>
      <c r="C32" s="10"/>
      <c r="D32" s="10"/>
      <c r="E32" s="10"/>
      <c r="F32" s="10"/>
      <c r="G32" s="10"/>
      <c r="H32" s="10"/>
      <c r="I32" s="10"/>
      <c r="J32" s="10"/>
      <c r="K32" s="10"/>
      <c r="L32" s="272" t="s">
        <v>206</v>
      </c>
      <c r="M32" s="273">
        <f>AVERAGE(E26:E29)</f>
        <v>0.1719</v>
      </c>
      <c r="N32" s="273">
        <f>AVERAGE(E2:E3)</f>
        <v>1.615</v>
      </c>
      <c r="O32" s="273">
        <f>AVERAGE(E5:E23)</f>
        <v>3.6912421052631581</v>
      </c>
      <c r="P32" s="10"/>
      <c r="Q32" s="10"/>
      <c r="R32" s="10"/>
      <c r="S32" s="10"/>
      <c r="T32" s="10"/>
      <c r="U32" s="10"/>
      <c r="V32" s="10"/>
      <c r="W32" s="10"/>
    </row>
    <row r="33" spans="1:23" x14ac:dyDescent="0.25">
      <c r="A33" s="10" t="s">
        <v>207</v>
      </c>
      <c r="B33" s="10" t="s">
        <v>208</v>
      </c>
      <c r="C33" s="10"/>
      <c r="D33" s="10"/>
      <c r="E33" s="10"/>
      <c r="F33" s="10"/>
      <c r="G33" s="10"/>
      <c r="H33" s="10"/>
      <c r="I33" s="10"/>
      <c r="J33" s="10"/>
      <c r="K33" s="10"/>
      <c r="L33" s="272" t="s">
        <v>209</v>
      </c>
      <c r="M33" s="273">
        <f>AVERAGE(G26:G29)</f>
        <v>0.25225000000000003</v>
      </c>
      <c r="N33" s="273">
        <f>AVERAGE(G2:G3)</f>
        <v>2.6349999999999998</v>
      </c>
      <c r="O33" s="273">
        <f>AVERAGE(G5:G23)</f>
        <v>5.5221368421052626</v>
      </c>
      <c r="P33" s="10"/>
      <c r="Q33" s="10"/>
      <c r="R33" s="10"/>
      <c r="S33" s="10"/>
      <c r="T33" s="10"/>
      <c r="U33" s="10"/>
      <c r="V33" s="10"/>
      <c r="W33" s="10"/>
    </row>
    <row r="34" spans="1:23" x14ac:dyDescent="0.25">
      <c r="A34" s="10" t="s">
        <v>210</v>
      </c>
      <c r="B34" s="10" t="s">
        <v>211</v>
      </c>
      <c r="C34" s="10"/>
      <c r="D34" s="10"/>
      <c r="E34" s="10"/>
      <c r="F34" s="10"/>
      <c r="G34" s="10"/>
      <c r="H34" s="10"/>
      <c r="I34" s="10"/>
      <c r="J34" s="10"/>
      <c r="K34" s="10"/>
      <c r="L34" s="272" t="s">
        <v>163</v>
      </c>
      <c r="M34" s="273">
        <f>AVERAGE(H26:H29)</f>
        <v>6.4074999999999993E-2</v>
      </c>
      <c r="N34" s="273">
        <f>AVERAGE(H2:H3)</f>
        <v>-9.5799999999999996E-2</v>
      </c>
      <c r="O34" s="273">
        <f>AVERAGE(H5:H23)</f>
        <v>-0.11397368421052632</v>
      </c>
      <c r="P34" s="10"/>
      <c r="Q34" s="10"/>
      <c r="R34" s="10"/>
      <c r="S34" s="10"/>
      <c r="T34" s="10"/>
      <c r="U34" s="10"/>
      <c r="V34" s="10"/>
      <c r="W34" s="10"/>
    </row>
    <row r="35" spans="1:23" x14ac:dyDescent="0.25">
      <c r="A35" s="10" t="s">
        <v>160</v>
      </c>
      <c r="B35" s="10" t="s">
        <v>212</v>
      </c>
      <c r="C35" s="10"/>
      <c r="D35" s="10"/>
      <c r="E35" s="10"/>
      <c r="F35" s="10"/>
      <c r="G35" s="10"/>
      <c r="H35" s="10"/>
      <c r="I35" s="10"/>
      <c r="J35" s="10"/>
      <c r="K35" s="10"/>
      <c r="L35" s="272" t="s">
        <v>213</v>
      </c>
      <c r="M35" s="10"/>
      <c r="N35" s="10"/>
      <c r="O35" s="274">
        <f>MAX(E7:E23)</f>
        <v>5.5010000000000003</v>
      </c>
      <c r="P35" s="274"/>
      <c r="Q35" s="10"/>
      <c r="R35" s="10"/>
      <c r="S35" s="10"/>
      <c r="T35" s="10"/>
      <c r="U35" s="10"/>
      <c r="V35" s="10"/>
      <c r="W35" s="10"/>
    </row>
    <row r="36" spans="1:23" x14ac:dyDescent="0.25">
      <c r="A36" s="10" t="s">
        <v>214</v>
      </c>
      <c r="B36" s="10" t="s">
        <v>215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</row>
    <row r="37" spans="1:23" x14ac:dyDescent="0.25">
      <c r="A37" s="10" t="s">
        <v>161</v>
      </c>
      <c r="B37" s="10" t="s">
        <v>216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</row>
    <row r="38" spans="1:23" x14ac:dyDescent="0.25">
      <c r="A38" s="10" t="s">
        <v>162</v>
      </c>
      <c r="B38" s="10" t="s">
        <v>217</v>
      </c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</row>
    <row r="39" spans="1:23" x14ac:dyDescent="0.25">
      <c r="A39" s="10" t="s">
        <v>218</v>
      </c>
      <c r="B39" s="10" t="s">
        <v>219</v>
      </c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</row>
  </sheetData>
  <mergeCells count="7">
    <mergeCell ref="C25:H25"/>
    <mergeCell ref="A1:T1"/>
    <mergeCell ref="M7:M8"/>
    <mergeCell ref="N7:N8"/>
    <mergeCell ref="O7:O8"/>
    <mergeCell ref="P8:S8"/>
    <mergeCell ref="T8:W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444"/>
  <sheetViews>
    <sheetView view="pageBreakPreview" topLeftCell="H1" zoomScaleNormal="75" zoomScaleSheetLayoutView="100" workbookViewId="0">
      <selection activeCell="AH34" sqref="AH34"/>
    </sheetView>
  </sheetViews>
  <sheetFormatPr defaultRowHeight="12.75" x14ac:dyDescent="0.2"/>
  <cols>
    <col min="1" max="1" width="15.7109375" style="15" customWidth="1"/>
    <col min="2" max="4" width="8.7109375" style="15" customWidth="1"/>
    <col min="5" max="21" width="5.7109375" style="15" customWidth="1"/>
    <col min="22" max="22" width="3.7109375" style="15" customWidth="1"/>
    <col min="23" max="43" width="5.7109375" style="15" customWidth="1"/>
    <col min="44" max="16384" width="9.140625" style="15"/>
  </cols>
  <sheetData>
    <row r="1" spans="1:29" ht="18" customHeight="1" x14ac:dyDescent="0.2">
      <c r="A1" s="213" t="s">
        <v>149</v>
      </c>
      <c r="B1" s="212"/>
      <c r="C1" s="212"/>
      <c r="D1" s="211"/>
      <c r="E1" s="103"/>
      <c r="M1" s="201" t="s">
        <v>148</v>
      </c>
      <c r="N1" s="71"/>
      <c r="O1" s="210" t="str">
        <f>"Stresscraft Report No. "&amp;B2</f>
        <v xml:space="preserve">Stresscraft Report No. </v>
      </c>
      <c r="P1" s="209"/>
      <c r="Q1" s="209"/>
      <c r="R1" s="209"/>
      <c r="S1" s="208"/>
      <c r="T1" s="207">
        <f xml:space="preserve"> B3</f>
        <v>0</v>
      </c>
      <c r="U1" s="206"/>
      <c r="V1" s="206"/>
      <c r="W1" s="206"/>
      <c r="X1" s="206"/>
      <c r="Y1" s="206"/>
      <c r="Z1" s="205"/>
      <c r="AA1" s="204"/>
      <c r="AB1" s="203" t="str">
        <f>"Fig. No. "&amp;B8</f>
        <v xml:space="preserve">Fig. No. </v>
      </c>
      <c r="AC1" s="66"/>
    </row>
    <row r="2" spans="1:29" ht="18" customHeight="1" x14ac:dyDescent="0.2">
      <c r="A2" s="181" t="s">
        <v>147</v>
      </c>
      <c r="B2" s="202"/>
      <c r="C2" s="127"/>
      <c r="D2" s="161"/>
      <c r="E2" s="148"/>
      <c r="M2" s="201" t="str">
        <f>IF(B9="125",124,B9)</f>
        <v>62</v>
      </c>
      <c r="N2" s="71"/>
      <c r="O2" s="195" t="str">
        <f>"Gauge Type = "&amp;B9&amp;B10</f>
        <v>Gauge Type = 62EA</v>
      </c>
      <c r="P2" s="65"/>
      <c r="Q2" s="200"/>
      <c r="R2" s="199"/>
      <c r="S2" s="198"/>
      <c r="T2" s="195" t="str">
        <f>"Hole diameter = "&amp;B35&amp;" mm"</f>
        <v>Hole diameter = 1.832 mm</v>
      </c>
      <c r="U2" s="197"/>
      <c r="V2" s="65"/>
      <c r="W2" s="196"/>
      <c r="X2" s="195"/>
      <c r="Y2" s="194" t="str">
        <f>"Gauge No. "&amp;B7</f>
        <v xml:space="preserve">Gauge No. </v>
      </c>
      <c r="Z2" s="194"/>
      <c r="AA2" s="194"/>
      <c r="AB2" s="194"/>
      <c r="AC2" s="66"/>
    </row>
    <row r="3" spans="1:29" ht="14.1" customHeight="1" x14ac:dyDescent="0.2">
      <c r="A3" s="193" t="s">
        <v>146</v>
      </c>
      <c r="B3" s="192"/>
      <c r="C3" s="191"/>
      <c r="D3" s="190"/>
      <c r="E3" s="127"/>
      <c r="M3" s="189" t="s">
        <v>145</v>
      </c>
      <c r="N3" s="134"/>
      <c r="O3" s="185" t="s">
        <v>82</v>
      </c>
      <c r="P3" s="188" t="s">
        <v>144</v>
      </c>
      <c r="Q3" s="187"/>
      <c r="R3" s="187"/>
      <c r="S3" s="187"/>
      <c r="T3" s="187"/>
      <c r="U3" s="186"/>
      <c r="V3" s="174"/>
      <c r="W3" s="185" t="s">
        <v>82</v>
      </c>
      <c r="X3" s="184" t="s">
        <v>79</v>
      </c>
      <c r="Y3" s="183"/>
      <c r="Z3" s="183"/>
      <c r="AA3" s="183"/>
      <c r="AB3" s="182"/>
      <c r="AC3" s="66"/>
    </row>
    <row r="4" spans="1:29" ht="14.1" customHeight="1" x14ac:dyDescent="0.2">
      <c r="A4" s="181" t="s">
        <v>143</v>
      </c>
      <c r="B4" s="180">
        <v>72</v>
      </c>
      <c r="C4" s="179" t="s">
        <v>111</v>
      </c>
      <c r="D4" s="161"/>
      <c r="E4" s="148"/>
      <c r="M4" s="178"/>
      <c r="N4" s="71"/>
      <c r="O4" s="173"/>
      <c r="P4" s="177"/>
      <c r="Q4" s="176" t="s">
        <v>142</v>
      </c>
      <c r="R4" s="176"/>
      <c r="S4" s="177"/>
      <c r="T4" s="176" t="s">
        <v>141</v>
      </c>
      <c r="U4" s="175"/>
      <c r="V4" s="174"/>
      <c r="W4" s="173"/>
      <c r="X4" s="172" t="s">
        <v>83</v>
      </c>
      <c r="Y4" s="171"/>
      <c r="Z4" s="172" t="s">
        <v>84</v>
      </c>
      <c r="AA4" s="171"/>
      <c r="AB4" s="170" t="s">
        <v>85</v>
      </c>
      <c r="AC4" s="66"/>
    </row>
    <row r="5" spans="1:29" ht="14.1" customHeight="1" thickBot="1" x14ac:dyDescent="0.25">
      <c r="A5" s="169" t="s">
        <v>140</v>
      </c>
      <c r="B5" s="168">
        <v>0.33</v>
      </c>
      <c r="C5" s="127"/>
      <c r="D5" s="161"/>
      <c r="E5" s="148"/>
      <c r="N5" s="71"/>
      <c r="O5" s="163" t="s">
        <v>136</v>
      </c>
      <c r="P5" s="164" t="s">
        <v>139</v>
      </c>
      <c r="Q5" s="88" t="s">
        <v>138</v>
      </c>
      <c r="R5" s="88" t="s">
        <v>137</v>
      </c>
      <c r="S5" s="164" t="s">
        <v>139</v>
      </c>
      <c r="T5" s="88" t="s">
        <v>138</v>
      </c>
      <c r="U5" s="167" t="s">
        <v>137</v>
      </c>
      <c r="V5" s="166"/>
      <c r="W5" s="165" t="s">
        <v>136</v>
      </c>
      <c r="X5" s="164" t="s">
        <v>135</v>
      </c>
      <c r="Y5" s="88" t="s">
        <v>134</v>
      </c>
      <c r="Z5" s="164" t="s">
        <v>80</v>
      </c>
      <c r="AA5" s="88" t="s">
        <v>81</v>
      </c>
      <c r="AB5" s="163" t="s">
        <v>92</v>
      </c>
      <c r="AC5" s="66"/>
    </row>
    <row r="6" spans="1:29" ht="9.9499999999999993" customHeight="1" thickBot="1" x14ac:dyDescent="0.25">
      <c r="A6" s="162"/>
      <c r="B6" s="127"/>
      <c r="C6" s="127"/>
      <c r="D6" s="161"/>
      <c r="E6" s="148"/>
      <c r="N6" s="71"/>
      <c r="O6" s="159">
        <f>A12</f>
        <v>16.027000000000001</v>
      </c>
      <c r="P6" s="159">
        <f>B12</f>
        <v>7</v>
      </c>
      <c r="Q6" s="160">
        <f>C12</f>
        <v>6</v>
      </c>
      <c r="R6" s="158">
        <f>D12</f>
        <v>9</v>
      </c>
      <c r="S6" s="159">
        <f>P6/2+P7/4</f>
        <v>7.5</v>
      </c>
      <c r="T6" s="160">
        <f>Q6/2+Q7/4</f>
        <v>7</v>
      </c>
      <c r="U6" s="158">
        <f>R6/2+R7/4</f>
        <v>9.5</v>
      </c>
      <c r="V6" s="130"/>
      <c r="W6" s="159">
        <f>ROUND(O6/2,0)</f>
        <v>8</v>
      </c>
      <c r="X6" s="159">
        <f>I172+SQRT(J172^2+K172^2)</f>
        <v>-266.91214016496508</v>
      </c>
      <c r="Y6" s="160">
        <f>I172-SQRT(J172^2+K172^2)</f>
        <v>-349.57711461712063</v>
      </c>
      <c r="Z6" s="159">
        <f>L172</f>
        <v>-285.31748861626073</v>
      </c>
      <c r="AA6" s="158">
        <f>M172</f>
        <v>-331.17176616582498</v>
      </c>
      <c r="AB6" s="158">
        <f>K172</f>
        <v>-34.390708162173198</v>
      </c>
      <c r="AC6" s="66"/>
    </row>
    <row r="7" spans="1:29" ht="9.9499999999999993" customHeight="1" x14ac:dyDescent="0.2">
      <c r="A7" s="157" t="s">
        <v>133</v>
      </c>
      <c r="B7" s="156"/>
      <c r="C7" s="155"/>
      <c r="D7" s="154"/>
      <c r="E7" s="148"/>
      <c r="N7" s="71"/>
      <c r="O7" s="144">
        <f>A13</f>
        <v>31.992000000000001</v>
      </c>
      <c r="P7" s="144">
        <f>B13</f>
        <v>16</v>
      </c>
      <c r="Q7" s="131">
        <f>C13</f>
        <v>16</v>
      </c>
      <c r="R7" s="143">
        <f>D13</f>
        <v>20</v>
      </c>
      <c r="S7" s="144">
        <f>P6/4+P7/2+P8/4</f>
        <v>16</v>
      </c>
      <c r="T7" s="131">
        <f>Q6/4+Q7/2+Q8/4</f>
        <v>15.75</v>
      </c>
      <c r="U7" s="143">
        <f>R6/4+R7/2+R8/4</f>
        <v>20.25</v>
      </c>
      <c r="V7" s="130"/>
      <c r="W7" s="144">
        <f>ROUND((O6+O7)/2,0)</f>
        <v>24</v>
      </c>
      <c r="X7" s="144">
        <f>I173+SQRT(J173^2+K173^2)</f>
        <v>-275.52117340185328</v>
      </c>
      <c r="Y7" s="131">
        <f>I173-SQRT(J173^2+K173^2)</f>
        <v>-336.92413714288341</v>
      </c>
      <c r="Z7" s="144">
        <f>L173</f>
        <v>-281.66171766122102</v>
      </c>
      <c r="AA7" s="143">
        <f>M173</f>
        <v>-330.78359288351567</v>
      </c>
      <c r="AB7" s="143">
        <f>K173</f>
        <v>-18.421219631362451</v>
      </c>
      <c r="AC7" s="66"/>
    </row>
    <row r="8" spans="1:29" ht="9.9499999999999993" customHeight="1" x14ac:dyDescent="0.2">
      <c r="A8" s="87" t="s">
        <v>132</v>
      </c>
      <c r="B8" s="153"/>
      <c r="C8" s="150"/>
      <c r="D8" s="149"/>
      <c r="E8" s="148"/>
      <c r="N8" s="71"/>
      <c r="O8" s="144">
        <f>A14</f>
        <v>47.988</v>
      </c>
      <c r="P8" s="144">
        <f>B14</f>
        <v>25</v>
      </c>
      <c r="Q8" s="131">
        <f>C14</f>
        <v>25</v>
      </c>
      <c r="R8" s="143">
        <f>D14</f>
        <v>32</v>
      </c>
      <c r="S8" s="144">
        <f>P7/4+P8/2+P9/4</f>
        <v>24.75</v>
      </c>
      <c r="T8" s="131">
        <f>Q7/4+Q8/2+Q9/4</f>
        <v>25</v>
      </c>
      <c r="U8" s="143">
        <f>R7/4+R8/2+R9/4</f>
        <v>32</v>
      </c>
      <c r="V8" s="130"/>
      <c r="W8" s="144">
        <f>ROUND((O7+O8)/2,0)</f>
        <v>40</v>
      </c>
      <c r="X8" s="144">
        <f>I174+SQRT(J174^2+K174^2)</f>
        <v>-256.57292947633198</v>
      </c>
      <c r="Y8" s="131">
        <f>I174-SQRT(J174^2+K174^2)</f>
        <v>-331.82176426043372</v>
      </c>
      <c r="Z8" s="144">
        <f>L174</f>
        <v>-262.50010469847854</v>
      </c>
      <c r="AA8" s="143">
        <f>M174</f>
        <v>-325.89458903828717</v>
      </c>
      <c r="AB8" s="143">
        <f>K174</f>
        <v>-20.270215166931504</v>
      </c>
      <c r="AC8" s="66"/>
    </row>
    <row r="9" spans="1:29" ht="9.9499999999999993" customHeight="1" x14ac:dyDescent="0.2">
      <c r="A9" s="87" t="s">
        <v>131</v>
      </c>
      <c r="B9" s="153" t="s">
        <v>130</v>
      </c>
      <c r="C9" s="150"/>
      <c r="D9" s="149"/>
      <c r="E9" s="148"/>
      <c r="N9" s="71"/>
      <c r="O9" s="144">
        <f>A15</f>
        <v>63.984000000000002</v>
      </c>
      <c r="P9" s="144">
        <f>B15</f>
        <v>33</v>
      </c>
      <c r="Q9" s="131">
        <f>C15</f>
        <v>34</v>
      </c>
      <c r="R9" s="143">
        <f>D15</f>
        <v>44</v>
      </c>
      <c r="S9" s="144">
        <f>P8/4+P9/2+P10/4</f>
        <v>34.25</v>
      </c>
      <c r="T9" s="131">
        <f>Q8/4+Q9/2+Q10/4</f>
        <v>35</v>
      </c>
      <c r="U9" s="143">
        <f>R8/4+R9/2+R10/4</f>
        <v>44.25</v>
      </c>
      <c r="V9" s="130"/>
      <c r="W9" s="144">
        <f>ROUND((O8+O9)/2,0)</f>
        <v>56</v>
      </c>
      <c r="X9" s="144">
        <f>I175+SQRT(J175^2+K175^2)</f>
        <v>-255.99512045743</v>
      </c>
      <c r="Y9" s="131">
        <f>I175-SQRT(J175^2+K175^2)</f>
        <v>-319.75622622736154</v>
      </c>
      <c r="Z9" s="144">
        <f>L175</f>
        <v>-260.57323926047263</v>
      </c>
      <c r="AA9" s="143">
        <f>M175</f>
        <v>-315.17810742431891</v>
      </c>
      <c r="AB9" s="143">
        <f>K175</f>
        <v>-16.460460062019532</v>
      </c>
      <c r="AC9" s="66"/>
    </row>
    <row r="10" spans="1:29" ht="9.9499999999999993" customHeight="1" x14ac:dyDescent="0.2">
      <c r="A10" s="152" t="s">
        <v>129</v>
      </c>
      <c r="B10" s="151" t="s">
        <v>128</v>
      </c>
      <c r="C10" s="150"/>
      <c r="D10" s="149"/>
      <c r="E10" s="148"/>
      <c r="N10" s="71"/>
      <c r="O10" s="144">
        <f>A16</f>
        <v>79.98</v>
      </c>
      <c r="P10" s="144">
        <f>B16</f>
        <v>46</v>
      </c>
      <c r="Q10" s="131">
        <f>C16</f>
        <v>47</v>
      </c>
      <c r="R10" s="143">
        <f>D16</f>
        <v>57</v>
      </c>
      <c r="S10" s="144">
        <f>P9/4+P10/2+P11/4</f>
        <v>46</v>
      </c>
      <c r="T10" s="131">
        <f>Q9/4+Q10/2+Q11/4</f>
        <v>47</v>
      </c>
      <c r="U10" s="143">
        <f>R9/4+R10/2+R11/4</f>
        <v>57.5</v>
      </c>
      <c r="V10" s="130"/>
      <c r="W10" s="144">
        <f>ROUND((O9+O10)/2,0)</f>
        <v>72</v>
      </c>
      <c r="X10" s="144">
        <f>I176+SQRT(J176^2+K176^2)</f>
        <v>-302.87694434777802</v>
      </c>
      <c r="Y10" s="131">
        <f>I176-SQRT(J176^2+K176^2)</f>
        <v>-331.43232634478431</v>
      </c>
      <c r="Z10" s="144">
        <f>L176</f>
        <v>-304.94482814740951</v>
      </c>
      <c r="AA10" s="143">
        <f>M176</f>
        <v>-329.36444254515283</v>
      </c>
      <c r="AB10" s="143">
        <f>K176</f>
        <v>-7.4008829483460268</v>
      </c>
      <c r="AC10" s="66"/>
    </row>
    <row r="11" spans="1:29" ht="9.9499999999999993" customHeight="1" x14ac:dyDescent="0.2">
      <c r="A11" s="87" t="s">
        <v>127</v>
      </c>
      <c r="B11" s="147" t="s">
        <v>126</v>
      </c>
      <c r="C11" s="147" t="s">
        <v>125</v>
      </c>
      <c r="D11" s="146" t="s">
        <v>124</v>
      </c>
      <c r="E11" s="103"/>
      <c r="N11" s="71"/>
      <c r="O11" s="144">
        <f>A17</f>
        <v>95.975999999999999</v>
      </c>
      <c r="P11" s="144">
        <f>B17</f>
        <v>59</v>
      </c>
      <c r="Q11" s="131">
        <f>C17</f>
        <v>60</v>
      </c>
      <c r="R11" s="143">
        <f>D17</f>
        <v>72</v>
      </c>
      <c r="S11" s="144">
        <f>P10/4+5*P11/8+P12/8</f>
        <v>58.75</v>
      </c>
      <c r="T11" s="131">
        <f>Q10/4+5*Q11/8+Q12/8</f>
        <v>59.375</v>
      </c>
      <c r="U11" s="143">
        <f>R10/4+5*R11/8+R12/8</f>
        <v>71.375</v>
      </c>
      <c r="V11" s="130"/>
      <c r="W11" s="144">
        <f>ROUND((O10+O11)/2,0)</f>
        <v>88</v>
      </c>
      <c r="X11" s="144">
        <f>I177+SQRT(J177^2+K177^2)</f>
        <v>-303.11859066260683</v>
      </c>
      <c r="Y11" s="131">
        <f>I177-SQRT(J177^2+K177^2)</f>
        <v>-339.43614265602639</v>
      </c>
      <c r="Z11" s="144">
        <f>L177</f>
        <v>-313.74829918907471</v>
      </c>
      <c r="AA11" s="143">
        <f>M177</f>
        <v>-328.80643412955851</v>
      </c>
      <c r="AB11" s="143">
        <f>K177</f>
        <v>-16.524354411813743</v>
      </c>
      <c r="AC11" s="66"/>
    </row>
    <row r="12" spans="1:29" ht="9.9499999999999993" customHeight="1" x14ac:dyDescent="0.2">
      <c r="A12" s="89">
        <f>$M$2*0.2585</f>
        <v>16.027000000000001</v>
      </c>
      <c r="B12" s="123">
        <v>7</v>
      </c>
      <c r="C12" s="123">
        <v>6</v>
      </c>
      <c r="D12" s="123">
        <v>9</v>
      </c>
      <c r="E12" s="103"/>
      <c r="N12" s="71"/>
      <c r="O12" s="144">
        <f>A18</f>
        <v>127.968</v>
      </c>
      <c r="P12" s="144">
        <f>B18</f>
        <v>83</v>
      </c>
      <c r="Q12" s="131">
        <f>C18</f>
        <v>81</v>
      </c>
      <c r="R12" s="143">
        <f>D18</f>
        <v>97</v>
      </c>
      <c r="S12" s="144">
        <f>P11/4+P12/2+P13/4</f>
        <v>82</v>
      </c>
      <c r="T12" s="131">
        <f>Q11/4+Q12/2+Q13/4</f>
        <v>81.75</v>
      </c>
      <c r="U12" s="143">
        <f>R11/4+R12/2+R13/4</f>
        <v>97.75</v>
      </c>
      <c r="V12" s="130"/>
      <c r="W12" s="144">
        <f>ROUND((O11+O12)/2,0)</f>
        <v>112</v>
      </c>
      <c r="X12" s="144">
        <f>I178+SQRT(J178^2+K178^2)</f>
        <v>-241.92304093295121</v>
      </c>
      <c r="Y12" s="131">
        <f>I178-SQRT(J178^2+K178^2)</f>
        <v>-290.25451119593316</v>
      </c>
      <c r="Z12" s="144">
        <f>L178</f>
        <v>-254.52272661294856</v>
      </c>
      <c r="AA12" s="143">
        <f>M178</f>
        <v>-277.65482551593578</v>
      </c>
      <c r="AB12" s="143">
        <f>K178</f>
        <v>-21.218135038946794</v>
      </c>
      <c r="AC12" s="66"/>
    </row>
    <row r="13" spans="1:29" ht="9.9499999999999993" customHeight="1" x14ac:dyDescent="0.2">
      <c r="A13" s="89">
        <f>2*$M$2*0.258</f>
        <v>31.992000000000001</v>
      </c>
      <c r="B13" s="123">
        <v>16</v>
      </c>
      <c r="C13" s="123">
        <v>16</v>
      </c>
      <c r="D13" s="123">
        <v>20</v>
      </c>
      <c r="E13" s="103"/>
      <c r="N13" s="71"/>
      <c r="O13" s="144">
        <f>A19</f>
        <v>159.96</v>
      </c>
      <c r="P13" s="144">
        <f>B19</f>
        <v>103</v>
      </c>
      <c r="Q13" s="131">
        <f>C19</f>
        <v>105</v>
      </c>
      <c r="R13" s="143">
        <f>D19</f>
        <v>125</v>
      </c>
      <c r="S13" s="144">
        <f>P12/4+P13/2+P14/4</f>
        <v>104.5</v>
      </c>
      <c r="T13" s="131">
        <f>Q12/4+Q13/2+Q14/4</f>
        <v>105.5</v>
      </c>
      <c r="U13" s="143">
        <f>R12/4+R13/2+R14/4</f>
        <v>125.25</v>
      </c>
      <c r="V13" s="130"/>
      <c r="W13" s="144">
        <f>ROUND((O12+O13)/2,0)</f>
        <v>144</v>
      </c>
      <c r="X13" s="144">
        <f>I179+SQRT(J179^2+K179^2)</f>
        <v>-223.08304143387201</v>
      </c>
      <c r="Y13" s="131">
        <f>I179-SQRT(J179^2+K179^2)</f>
        <v>-265.64857811372826</v>
      </c>
      <c r="Z13" s="144">
        <f>L179</f>
        <v>-224.27346425168338</v>
      </c>
      <c r="AA13" s="143">
        <f>M179</f>
        <v>-264.45815529591687</v>
      </c>
      <c r="AB13" s="143">
        <f>K179</f>
        <v>-7.0181108306239599</v>
      </c>
      <c r="AC13" s="66"/>
    </row>
    <row r="14" spans="1:29" ht="9.9499999999999993" customHeight="1" x14ac:dyDescent="0.2">
      <c r="A14" s="89">
        <f>3*$M$2*0.258</f>
        <v>47.988</v>
      </c>
      <c r="B14" s="123">
        <v>25</v>
      </c>
      <c r="C14" s="123">
        <v>25</v>
      </c>
      <c r="D14" s="123">
        <v>32</v>
      </c>
      <c r="E14" s="103"/>
      <c r="N14" s="71"/>
      <c r="O14" s="144">
        <f>A20</f>
        <v>191.952</v>
      </c>
      <c r="P14" s="144">
        <f>B20</f>
        <v>129</v>
      </c>
      <c r="Q14" s="131">
        <f>C20</f>
        <v>131</v>
      </c>
      <c r="R14" s="143">
        <f>D20</f>
        <v>154</v>
      </c>
      <c r="S14" s="144">
        <f>P13/4+P14/2+P15/4</f>
        <v>127</v>
      </c>
      <c r="T14" s="131">
        <f>Q13/4+Q14/2+Q15/4</f>
        <v>129.75</v>
      </c>
      <c r="U14" s="143">
        <f>R13/4+R14/2+R15/4</f>
        <v>154.25</v>
      </c>
      <c r="V14" s="130"/>
      <c r="W14" s="144">
        <f>ROUND((O13+O14)/2,0)</f>
        <v>176</v>
      </c>
      <c r="X14" s="144">
        <f>I180+SQRT(J180^2+K180^2)</f>
        <v>-212.18001924460873</v>
      </c>
      <c r="Y14" s="131">
        <f>I180-SQRT(J180^2+K180^2)</f>
        <v>-266.69679460530801</v>
      </c>
      <c r="Z14" s="144">
        <f>L180</f>
        <v>-213.66741552172513</v>
      </c>
      <c r="AA14" s="143">
        <f>M180</f>
        <v>-265.20939832819158</v>
      </c>
      <c r="AB14" s="143">
        <f>K180</f>
        <v>-8.8811993011482624</v>
      </c>
      <c r="AC14" s="66"/>
    </row>
    <row r="15" spans="1:29" ht="9.9499999999999993" customHeight="1" x14ac:dyDescent="0.2">
      <c r="A15" s="89">
        <f>4*$M$2*0.258</f>
        <v>63.984000000000002</v>
      </c>
      <c r="B15" s="123">
        <v>33</v>
      </c>
      <c r="C15" s="123">
        <v>34</v>
      </c>
      <c r="D15" s="123">
        <v>44</v>
      </c>
      <c r="E15" s="103"/>
      <c r="N15" s="71"/>
      <c r="O15" s="144">
        <f>A21</f>
        <v>223.94400000000002</v>
      </c>
      <c r="P15" s="144">
        <f>B21</f>
        <v>147</v>
      </c>
      <c r="Q15" s="131">
        <f>C21</f>
        <v>152</v>
      </c>
      <c r="R15" s="143">
        <f>D21</f>
        <v>184</v>
      </c>
      <c r="S15" s="144">
        <f>P14/4+P15/2+P16/4</f>
        <v>149.5</v>
      </c>
      <c r="T15" s="131">
        <f>Q14/4+Q15/2+Q16/4</f>
        <v>153</v>
      </c>
      <c r="U15" s="143">
        <f>R14/4+R15/2+R16/4</f>
        <v>182.5</v>
      </c>
      <c r="V15" s="130"/>
      <c r="W15" s="144">
        <f>ROUND((O14+O15)/2,0)</f>
        <v>208</v>
      </c>
      <c r="X15" s="144">
        <f>I181+SQRT(J181^2+K181^2)</f>
        <v>-198.22796590410454</v>
      </c>
      <c r="Y15" s="131">
        <f>I181-SQRT(J181^2+K181^2)</f>
        <v>-246.87928352112638</v>
      </c>
      <c r="Z15" s="144">
        <f>L181</f>
        <v>-202.82989082330951</v>
      </c>
      <c r="AA15" s="143">
        <f>M181</f>
        <v>-242.27735860192141</v>
      </c>
      <c r="AB15" s="143">
        <f>K181</f>
        <v>-14.237696370267507</v>
      </c>
      <c r="AC15" s="66"/>
    </row>
    <row r="16" spans="1:29" ht="9.9499999999999993" customHeight="1" x14ac:dyDescent="0.2">
      <c r="A16" s="89">
        <f>5*$M$2*0.258</f>
        <v>79.98</v>
      </c>
      <c r="B16" s="123">
        <v>46</v>
      </c>
      <c r="C16" s="123">
        <v>47</v>
      </c>
      <c r="D16" s="123">
        <v>57</v>
      </c>
      <c r="E16" s="103"/>
      <c r="N16" s="71"/>
      <c r="O16" s="144">
        <f>A22</f>
        <v>255.93600000000001</v>
      </c>
      <c r="P16" s="144">
        <f>B22</f>
        <v>175</v>
      </c>
      <c r="Q16" s="131">
        <f>C22</f>
        <v>177</v>
      </c>
      <c r="R16" s="143">
        <f>D22</f>
        <v>208</v>
      </c>
      <c r="S16" s="144">
        <f>P15/4+5*P16/8+P17/8</f>
        <v>174.375</v>
      </c>
      <c r="T16" s="131">
        <f>Q15/4+5*Q16/8+Q17/8</f>
        <v>177</v>
      </c>
      <c r="U16" s="143">
        <f>R15/4+5*R16/8+R17/8</f>
        <v>208.75</v>
      </c>
      <c r="V16" s="130"/>
      <c r="W16" s="144">
        <f>ROUND((O15+O16)/2,0)</f>
        <v>240</v>
      </c>
      <c r="X16" s="144">
        <f>I182+SQRT(J182^2+K182^2)</f>
        <v>-214.96290158167224</v>
      </c>
      <c r="Y16" s="131">
        <f>I182-SQRT(J182^2+K182^2)</f>
        <v>-231.31730699745523</v>
      </c>
      <c r="Z16" s="144">
        <f>L182</f>
        <v>-226.34710588802682</v>
      </c>
      <c r="AA16" s="143">
        <f>M182</f>
        <v>-219.93310269110066</v>
      </c>
      <c r="AB16" s="143">
        <f>K182</f>
        <v>-7.5220864707475386</v>
      </c>
      <c r="AC16" s="66"/>
    </row>
    <row r="17" spans="1:29" ht="9.9499999999999993" customHeight="1" x14ac:dyDescent="0.2">
      <c r="A17" s="89">
        <f>6*$M$2*0.258</f>
        <v>95.975999999999999</v>
      </c>
      <c r="B17" s="123">
        <v>59</v>
      </c>
      <c r="C17" s="123">
        <v>60</v>
      </c>
      <c r="D17" s="123">
        <v>72</v>
      </c>
      <c r="E17" s="103"/>
      <c r="N17" s="71"/>
      <c r="O17" s="144">
        <f>A23</f>
        <v>319.92</v>
      </c>
      <c r="P17" s="144">
        <f>B23</f>
        <v>226</v>
      </c>
      <c r="Q17" s="131">
        <f>C23</f>
        <v>227</v>
      </c>
      <c r="R17" s="143">
        <f>D23</f>
        <v>262</v>
      </c>
      <c r="S17" s="144">
        <f>P16/4+P17/2+P18/4</f>
        <v>225.75</v>
      </c>
      <c r="T17" s="131">
        <f>Q16/4+Q17/2+Q18/4</f>
        <v>226</v>
      </c>
      <c r="U17" s="143">
        <f>R16/4+R17/2+R18/4</f>
        <v>261.75</v>
      </c>
      <c r="V17" s="130"/>
      <c r="W17" s="144">
        <f>ROUND((O16+O17)/2,0)</f>
        <v>288</v>
      </c>
      <c r="X17" s="144">
        <f>I183+SQRT(J183^2+K183^2)</f>
        <v>-215.77807410442855</v>
      </c>
      <c r="Y17" s="131">
        <f>I183-SQRT(J183^2+K183^2)</f>
        <v>-236.26764198187001</v>
      </c>
      <c r="Z17" s="144">
        <f>L183</f>
        <v>-230.49847939479096</v>
      </c>
      <c r="AA17" s="143">
        <f>M183</f>
        <v>-221.54723669150761</v>
      </c>
      <c r="AB17" s="143">
        <f>K183</f>
        <v>-9.2154441817960855</v>
      </c>
      <c r="AC17" s="66"/>
    </row>
    <row r="18" spans="1:29" ht="9.9499999999999993" customHeight="1" x14ac:dyDescent="0.2">
      <c r="A18" s="89">
        <f>8*$M$2*0.258</f>
        <v>127.968</v>
      </c>
      <c r="B18" s="123">
        <v>83</v>
      </c>
      <c r="C18" s="123">
        <v>81</v>
      </c>
      <c r="D18" s="123">
        <v>97</v>
      </c>
      <c r="E18" s="103"/>
      <c r="N18" s="71"/>
      <c r="O18" s="144">
        <f>A24</f>
        <v>383.904</v>
      </c>
      <c r="P18" s="144">
        <f>B24</f>
        <v>276</v>
      </c>
      <c r="Q18" s="131">
        <f>C24</f>
        <v>273</v>
      </c>
      <c r="R18" s="143">
        <f>D24</f>
        <v>315</v>
      </c>
      <c r="S18" s="144">
        <f>P17/4+P18/2+P19/4</f>
        <v>271.75</v>
      </c>
      <c r="T18" s="131">
        <f>Q17/4+Q18/2+Q19/4</f>
        <v>271</v>
      </c>
      <c r="U18" s="143">
        <f>R17/4+R18/2+R19/4</f>
        <v>313.75</v>
      </c>
      <c r="V18" s="130"/>
      <c r="W18" s="144">
        <f>ROUND((O17+O18)/2,0)</f>
        <v>352</v>
      </c>
      <c r="X18" s="144">
        <f>I184+SQRT(J184^2+K184^2)</f>
        <v>-186.38826599919213</v>
      </c>
      <c r="Y18" s="131">
        <f>I184-SQRT(J184^2+K184^2)</f>
        <v>-215.59672634433969</v>
      </c>
      <c r="Z18" s="144">
        <f>L184</f>
        <v>-193.03277252922305</v>
      </c>
      <c r="AA18" s="143">
        <f>M184</f>
        <v>-208.95221981430876</v>
      </c>
      <c r="AB18" s="143">
        <f>K184</f>
        <v>-12.244441125174252</v>
      </c>
      <c r="AC18" s="66"/>
    </row>
    <row r="19" spans="1:29" ht="9.9499999999999993" customHeight="1" x14ac:dyDescent="0.2">
      <c r="A19" s="89">
        <f>10*$M$2*0.258</f>
        <v>159.96</v>
      </c>
      <c r="B19" s="123">
        <v>103</v>
      </c>
      <c r="C19" s="123">
        <v>105</v>
      </c>
      <c r="D19" s="123">
        <v>125</v>
      </c>
      <c r="E19" s="103"/>
      <c r="N19" s="71"/>
      <c r="O19" s="144">
        <f>A25</f>
        <v>447.88800000000003</v>
      </c>
      <c r="P19" s="144">
        <f>B25</f>
        <v>309</v>
      </c>
      <c r="Q19" s="131">
        <f>C25</f>
        <v>311</v>
      </c>
      <c r="R19" s="143">
        <f>D25</f>
        <v>363</v>
      </c>
      <c r="S19" s="144">
        <f>P18/4+P19/2+P20/4</f>
        <v>312</v>
      </c>
      <c r="T19" s="131">
        <f>Q18/4+Q19/2+Q20/4</f>
        <v>311</v>
      </c>
      <c r="U19" s="143">
        <f>R18/4+R19/2+R20/4</f>
        <v>360</v>
      </c>
      <c r="V19" s="130"/>
      <c r="W19" s="144">
        <f>ROUND((O18+O20)/2,0)</f>
        <v>448</v>
      </c>
      <c r="X19" s="144">
        <f>I185+SQRT(J185^2+K185^2)</f>
        <v>-158.95078341041523</v>
      </c>
      <c r="Y19" s="131">
        <f>I185-SQRT(J185^2+K185^2)</f>
        <v>-170.96991813281653</v>
      </c>
      <c r="Z19" s="144">
        <f>L185</f>
        <v>-164.18155021050515</v>
      </c>
      <c r="AA19" s="143">
        <f>M185</f>
        <v>-165.73915133272661</v>
      </c>
      <c r="AB19" s="143">
        <f>K185</f>
        <v>-5.9588899599524208</v>
      </c>
      <c r="AC19" s="66"/>
    </row>
    <row r="20" spans="1:29" ht="9.9499999999999993" customHeight="1" x14ac:dyDescent="0.2">
      <c r="A20" s="89">
        <f>12*$M$2*0.258</f>
        <v>191.952</v>
      </c>
      <c r="B20" s="123">
        <v>129</v>
      </c>
      <c r="C20" s="123">
        <v>131</v>
      </c>
      <c r="D20" s="123">
        <v>154</v>
      </c>
      <c r="E20" s="103"/>
      <c r="N20" s="71"/>
      <c r="O20" s="144">
        <f>A26</f>
        <v>511.87200000000001</v>
      </c>
      <c r="P20" s="144">
        <f>B26</f>
        <v>354</v>
      </c>
      <c r="Q20" s="131">
        <f>C26</f>
        <v>349</v>
      </c>
      <c r="R20" s="143">
        <f>D26</f>
        <v>399</v>
      </c>
      <c r="S20" s="144">
        <f>P19/4+P20/2+P21/4</f>
        <v>351.5</v>
      </c>
      <c r="T20" s="131">
        <f>Q19/4+Q20/2+Q21/4</f>
        <v>348</v>
      </c>
      <c r="U20" s="143">
        <f>R19/4+R20/2+R21/4</f>
        <v>398.75</v>
      </c>
      <c r="V20" s="130"/>
      <c r="W20" s="144">
        <f>ROUND(O20,0)</f>
        <v>512</v>
      </c>
      <c r="X20" s="144">
        <f>I186+SQRT(J186^2+K186^2)</f>
        <v>-136.9106871670763</v>
      </c>
      <c r="Y20" s="131">
        <f>I186-SQRT(J186^2+K186^2)</f>
        <v>-148.79741187694785</v>
      </c>
      <c r="Z20" s="144">
        <f>L186</f>
        <v>-144.38988073091156</v>
      </c>
      <c r="AA20" s="143">
        <f>M186</f>
        <v>-141.3182183131126</v>
      </c>
      <c r="AB20" s="143">
        <f>K186</f>
        <v>-5.7414961969714868</v>
      </c>
      <c r="AC20" s="66"/>
    </row>
    <row r="21" spans="1:29" ht="9.9499999999999993" customHeight="1" x14ac:dyDescent="0.2">
      <c r="A21" s="89">
        <f>14*$M$2*0.258</f>
        <v>223.94400000000002</v>
      </c>
      <c r="B21" s="123">
        <v>147</v>
      </c>
      <c r="C21" s="123">
        <v>152</v>
      </c>
      <c r="D21" s="123">
        <v>184</v>
      </c>
      <c r="E21" s="103"/>
      <c r="N21" s="71"/>
      <c r="O21" s="144">
        <f>A27</f>
        <v>575.85599999999999</v>
      </c>
      <c r="P21" s="144">
        <f>B27</f>
        <v>389</v>
      </c>
      <c r="Q21" s="131">
        <f>C27</f>
        <v>383</v>
      </c>
      <c r="R21" s="143">
        <f>D27</f>
        <v>434</v>
      </c>
      <c r="S21" s="144">
        <f>P20/4+P21/2+P22/4</f>
        <v>387.5</v>
      </c>
      <c r="T21" s="131">
        <f>Q20/4+Q21/2+Q22/4</f>
        <v>381.5</v>
      </c>
      <c r="U21" s="143">
        <f>R20/4+R21/2+R22/4</f>
        <v>433.5</v>
      </c>
      <c r="V21" s="130"/>
      <c r="W21" s="144">
        <f>ROUND(O21,0)</f>
        <v>576</v>
      </c>
      <c r="X21" s="144">
        <f>I187+SQRT(J187^2+K187^2)</f>
        <v>-125.55738471064103</v>
      </c>
      <c r="Y21" s="131">
        <f>I187-SQRT(J187^2+K187^2)</f>
        <v>-138.04441308377932</v>
      </c>
      <c r="Z21" s="144">
        <f>L187</f>
        <v>-134.49404599111475</v>
      </c>
      <c r="AA21" s="143">
        <f>M187</f>
        <v>-129.1077518033056</v>
      </c>
      <c r="AB21" s="143">
        <f>K187</f>
        <v>-5.6327993154810194</v>
      </c>
      <c r="AC21" s="66"/>
    </row>
    <row r="22" spans="1:29" ht="9.9499999999999993" customHeight="1" x14ac:dyDescent="0.2">
      <c r="A22" s="89">
        <f>16*$M$2*0.258</f>
        <v>255.93600000000001</v>
      </c>
      <c r="B22" s="123">
        <v>175</v>
      </c>
      <c r="C22" s="123">
        <v>177</v>
      </c>
      <c r="D22" s="123">
        <v>208</v>
      </c>
      <c r="E22" s="103"/>
      <c r="N22" s="71"/>
      <c r="O22" s="144">
        <f>A28</f>
        <v>639.84</v>
      </c>
      <c r="P22" s="144">
        <f>B28</f>
        <v>418</v>
      </c>
      <c r="Q22" s="131">
        <f>C28</f>
        <v>411</v>
      </c>
      <c r="R22" s="143">
        <f>D28</f>
        <v>467</v>
      </c>
      <c r="S22" s="144">
        <f>P21/4+5*P22/8+P23/8</f>
        <v>416.75</v>
      </c>
      <c r="T22" s="131">
        <f>Q21/4+5*Q22/8+Q23/8</f>
        <v>409.125</v>
      </c>
      <c r="U22" s="143">
        <f>R21/4+5*R22/8+R23/8</f>
        <v>464.125</v>
      </c>
      <c r="V22" s="130"/>
      <c r="W22" s="144">
        <f>ROUND(O22,0)</f>
        <v>640</v>
      </c>
      <c r="X22" s="144">
        <f>I188+SQRT(J188^2+K188^2)</f>
        <v>-114.0141182815954</v>
      </c>
      <c r="Y22" s="131">
        <f>I188-SQRT(J188^2+K188^2)</f>
        <v>-127.48137826322109</v>
      </c>
      <c r="Z22" s="144">
        <f>L188</f>
        <v>-124.59821125131791</v>
      </c>
      <c r="AA22" s="143">
        <f>M188</f>
        <v>-116.89728529349858</v>
      </c>
      <c r="AB22" s="143">
        <f>K188</f>
        <v>-5.5241024339905529</v>
      </c>
      <c r="AC22" s="65"/>
    </row>
    <row r="23" spans="1:29" ht="9.9499999999999993" customHeight="1" x14ac:dyDescent="0.2">
      <c r="A23" s="89">
        <f>20*$M$2*0.258</f>
        <v>319.92</v>
      </c>
      <c r="B23" s="123">
        <v>226</v>
      </c>
      <c r="C23" s="123">
        <v>227</v>
      </c>
      <c r="D23" s="123">
        <v>262</v>
      </c>
      <c r="E23" s="103"/>
      <c r="N23" s="71"/>
      <c r="O23" s="144">
        <f>A29</f>
        <v>768.10559999999998</v>
      </c>
      <c r="P23" s="144">
        <f>B29</f>
        <v>466</v>
      </c>
      <c r="Q23" s="131">
        <f>C29</f>
        <v>452</v>
      </c>
      <c r="R23" s="143">
        <f>D29</f>
        <v>510</v>
      </c>
      <c r="S23" s="144">
        <f>P22/4+P23/2+P24/4</f>
        <v>459</v>
      </c>
      <c r="T23" s="131">
        <f>Q22/4+Q23/2+Q24/4</f>
        <v>447.5</v>
      </c>
      <c r="U23" s="143">
        <f>R22/4+R23/2+R24/4</f>
        <v>506.5</v>
      </c>
      <c r="V23" s="130"/>
      <c r="W23" s="144">
        <f>ROUND(O23,0)</f>
        <v>768</v>
      </c>
      <c r="X23" s="144">
        <f>I189+SQRT(J189^2+K189^2)</f>
        <v>-83.817240671120274</v>
      </c>
      <c r="Y23" s="131">
        <f>I189-SQRT(J189^2+K189^2)</f>
        <v>-88.841327067204233</v>
      </c>
      <c r="Z23" s="144">
        <f>L189</f>
        <v>-86.734742237748151</v>
      </c>
      <c r="AA23" s="143">
        <f>M189</f>
        <v>-85.923825500576356</v>
      </c>
      <c r="AB23" s="143">
        <f>K189</f>
        <v>-2.4791055927839487</v>
      </c>
      <c r="AC23" s="65"/>
    </row>
    <row r="24" spans="1:29" ht="9.9499999999999993" customHeight="1" x14ac:dyDescent="0.2">
      <c r="A24" s="89">
        <f>24*$M$2*0.258</f>
        <v>383.904</v>
      </c>
      <c r="B24" s="123">
        <v>276</v>
      </c>
      <c r="C24" s="123">
        <v>273</v>
      </c>
      <c r="D24" s="123">
        <v>315</v>
      </c>
      <c r="E24" s="103"/>
      <c r="N24" s="71"/>
      <c r="O24" s="144">
        <f>A30</f>
        <v>896.1232</v>
      </c>
      <c r="P24" s="144">
        <f>B30</f>
        <v>486</v>
      </c>
      <c r="Q24" s="131">
        <f>C30</f>
        <v>475</v>
      </c>
      <c r="R24" s="143">
        <f>D30</f>
        <v>539</v>
      </c>
      <c r="S24" s="144">
        <f>P23/4+P24/2+P25/4</f>
        <v>487.25</v>
      </c>
      <c r="T24" s="131">
        <f>Q23/4+Q24/2+Q25/4</f>
        <v>474.75</v>
      </c>
      <c r="U24" s="143">
        <f>R23/4+R24/2+R25/4</f>
        <v>536.5</v>
      </c>
      <c r="V24" s="130"/>
      <c r="W24" s="144">
        <f>ROUND(O24,0)</f>
        <v>896</v>
      </c>
      <c r="X24" s="144">
        <f>I190+SQRT(J190^2+K190^2)</f>
        <v>-67.49226113656205</v>
      </c>
      <c r="Y24" s="131">
        <f>I190-SQRT(J190^2+K190^2)</f>
        <v>-70.747842198516466</v>
      </c>
      <c r="Z24" s="144">
        <f>L190</f>
        <v>-67.803007730963259</v>
      </c>
      <c r="AA24" s="143">
        <f>M190</f>
        <v>-70.437095604115257</v>
      </c>
      <c r="AB24" s="143">
        <f>K190</f>
        <v>-0.95660717218064661</v>
      </c>
      <c r="AC24" s="65"/>
    </row>
    <row r="25" spans="1:29" ht="9.9499999999999993" customHeight="1" x14ac:dyDescent="0.2">
      <c r="A25" s="89">
        <f>28*$M$2*0.258</f>
        <v>447.88800000000003</v>
      </c>
      <c r="B25" s="123">
        <v>309</v>
      </c>
      <c r="C25" s="123">
        <v>311</v>
      </c>
      <c r="D25" s="123">
        <v>363</v>
      </c>
      <c r="E25" s="103"/>
      <c r="N25" s="71"/>
      <c r="O25" s="144">
        <f>A31</f>
        <v>1024.1407999999999</v>
      </c>
      <c r="P25" s="144">
        <f>B31</f>
        <v>511</v>
      </c>
      <c r="Q25" s="131">
        <f>C31</f>
        <v>497</v>
      </c>
      <c r="R25" s="143">
        <f>D31</f>
        <v>558</v>
      </c>
      <c r="S25" s="144">
        <f>P24/4+P25/2+P26/4</f>
        <v>505.25</v>
      </c>
      <c r="T25" s="131">
        <f>Q24/4+Q25/2+Q26/4</f>
        <v>493.5</v>
      </c>
      <c r="U25" s="143">
        <f>R24/4+R25/2+R26/4</f>
        <v>557</v>
      </c>
      <c r="V25" s="130"/>
      <c r="W25" s="139">
        <f>ROUND((O24+O26)/2,0)</f>
        <v>1024</v>
      </c>
      <c r="X25" s="139">
        <f>I191+SQRT(J191^2+K191^2)</f>
        <v>-48.819044205535242</v>
      </c>
      <c r="Y25" s="141">
        <f>I191-SQRT(J191^2+K191^2)</f>
        <v>-55.002594726297311</v>
      </c>
      <c r="Z25" s="139">
        <f>L191</f>
        <v>-48.871273224178395</v>
      </c>
      <c r="AA25" s="140">
        <f>M191</f>
        <v>-54.950365707654157</v>
      </c>
      <c r="AB25" s="140">
        <f>K191</f>
        <v>0.56589124842265548</v>
      </c>
      <c r="AC25" s="65"/>
    </row>
    <row r="26" spans="1:29" ht="9.9499999999999993" customHeight="1" x14ac:dyDescent="0.2">
      <c r="A26" s="89">
        <f>32*$M$2*0.258</f>
        <v>511.87200000000001</v>
      </c>
      <c r="B26" s="123">
        <v>354</v>
      </c>
      <c r="C26" s="123">
        <v>349</v>
      </c>
      <c r="D26" s="123">
        <v>399</v>
      </c>
      <c r="E26" s="103"/>
      <c r="N26" s="71"/>
      <c r="O26" s="144">
        <f>A32</f>
        <v>1152.1584</v>
      </c>
      <c r="P26" s="144">
        <f>B32</f>
        <v>513</v>
      </c>
      <c r="Q26" s="131">
        <f>C32</f>
        <v>505</v>
      </c>
      <c r="R26" s="143">
        <f>D32</f>
        <v>573</v>
      </c>
      <c r="S26" s="144">
        <f>P25/4+P26/2+P27/4</f>
        <v>516.75</v>
      </c>
      <c r="T26" s="131">
        <f>Q25/4+Q26/2+Q27/4</f>
        <v>506</v>
      </c>
      <c r="U26" s="143">
        <f>R25/4+R26/2+R27/4</f>
        <v>571.25</v>
      </c>
      <c r="V26" s="130"/>
      <c r="W26" s="136"/>
      <c r="X26" s="65"/>
      <c r="Y26" s="65"/>
      <c r="Z26" s="65"/>
      <c r="AA26" s="65"/>
      <c r="AB26" s="133"/>
      <c r="AC26" s="66"/>
    </row>
    <row r="27" spans="1:29" ht="9.9499999999999993" customHeight="1" x14ac:dyDescent="0.2">
      <c r="A27" s="89">
        <f>36*$M$2*0.258</f>
        <v>575.85599999999999</v>
      </c>
      <c r="B27" s="123">
        <v>389</v>
      </c>
      <c r="C27" s="123">
        <v>383</v>
      </c>
      <c r="D27" s="123">
        <v>434</v>
      </c>
      <c r="E27" s="145"/>
      <c r="N27" s="71"/>
      <c r="O27" s="144">
        <f>A33</f>
        <v>1280.1759999999999</v>
      </c>
      <c r="P27" s="144">
        <f>B33</f>
        <v>530</v>
      </c>
      <c r="Q27" s="131">
        <f>C33</f>
        <v>517</v>
      </c>
      <c r="R27" s="143">
        <f>D33</f>
        <v>581</v>
      </c>
      <c r="S27" s="144">
        <f>P26/3+P27/3+P28/3</f>
        <v>523.66666666666663</v>
      </c>
      <c r="T27" s="131">
        <f>Q26/3+Q27/3+Q28/3</f>
        <v>513</v>
      </c>
      <c r="U27" s="143">
        <f>R26/3+R27/3+R28/3</f>
        <v>579.33333333333326</v>
      </c>
      <c r="V27" s="130"/>
      <c r="W27" s="136"/>
      <c r="X27" s="69"/>
      <c r="Y27" s="142" t="str">
        <f>B36</f>
        <v>radial</v>
      </c>
      <c r="Z27" s="69"/>
      <c r="AA27" s="69"/>
      <c r="AB27" s="133"/>
      <c r="AC27" s="66"/>
    </row>
    <row r="28" spans="1:29" ht="9.9499999999999993" customHeight="1" x14ac:dyDescent="0.2">
      <c r="A28" s="89">
        <f>40*$M$2*0.258</f>
        <v>639.84</v>
      </c>
      <c r="B28" s="123">
        <v>418</v>
      </c>
      <c r="C28" s="123">
        <v>411</v>
      </c>
      <c r="D28" s="123">
        <v>467</v>
      </c>
      <c r="E28" s="103"/>
      <c r="N28" s="71"/>
      <c r="O28" s="139">
        <f>A34</f>
        <v>1408.1936000000001</v>
      </c>
      <c r="P28" s="139">
        <f>B34</f>
        <v>528</v>
      </c>
      <c r="Q28" s="141">
        <f>C34</f>
        <v>517</v>
      </c>
      <c r="R28" s="140">
        <f>D34</f>
        <v>584</v>
      </c>
      <c r="S28" s="139"/>
      <c r="T28" s="138"/>
      <c r="U28" s="137"/>
      <c r="V28" s="130"/>
      <c r="W28" s="136"/>
      <c r="X28" s="67"/>
      <c r="Y28" s="135" t="str">
        <f>B37</f>
        <v>circumferential</v>
      </c>
      <c r="Z28" s="134"/>
      <c r="AA28" s="67"/>
      <c r="AB28" s="133"/>
      <c r="AC28" s="66"/>
    </row>
    <row r="29" spans="1:29" ht="14.1" customHeight="1" x14ac:dyDescent="0.2">
      <c r="A29" s="89">
        <f>48*$M$2*0.2581</f>
        <v>768.10559999999998</v>
      </c>
      <c r="B29" s="123">
        <v>466</v>
      </c>
      <c r="C29" s="123">
        <v>452</v>
      </c>
      <c r="D29" s="123">
        <v>510</v>
      </c>
      <c r="E29" s="103"/>
      <c r="N29" s="71"/>
      <c r="O29" s="132" t="s">
        <v>123</v>
      </c>
      <c r="P29" s="130"/>
      <c r="Q29" s="131"/>
      <c r="R29" s="130"/>
      <c r="S29" s="65"/>
      <c r="T29" s="129" t="s">
        <v>122</v>
      </c>
      <c r="U29" s="128" t="s">
        <v>121</v>
      </c>
      <c r="V29" s="69"/>
      <c r="W29" s="68"/>
      <c r="X29" s="65"/>
      <c r="Y29" s="65"/>
      <c r="Z29" s="65"/>
      <c r="AA29" s="65"/>
      <c r="AB29" s="67"/>
      <c r="AC29" s="66"/>
    </row>
    <row r="30" spans="1:29" ht="14.1" customHeight="1" x14ac:dyDescent="0.2">
      <c r="A30" s="89">
        <f>56*$M$2*0.2581</f>
        <v>896.1232</v>
      </c>
      <c r="B30" s="123">
        <v>486</v>
      </c>
      <c r="C30" s="123">
        <v>475</v>
      </c>
      <c r="D30" s="123">
        <v>539</v>
      </c>
      <c r="E30" s="127"/>
      <c r="N30" s="102"/>
      <c r="Q30" s="100"/>
      <c r="R30" s="100"/>
      <c r="S30" s="100"/>
      <c r="T30" s="100"/>
      <c r="U30" s="100"/>
      <c r="V30" s="100"/>
      <c r="W30" s="99"/>
      <c r="X30" s="126"/>
      <c r="AB30" s="98"/>
      <c r="AC30" s="97"/>
    </row>
    <row r="31" spans="1:29" ht="14.1" customHeight="1" x14ac:dyDescent="0.2">
      <c r="A31" s="89">
        <f>64*$M$2*0.2581</f>
        <v>1024.1407999999999</v>
      </c>
      <c r="B31" s="123">
        <v>511</v>
      </c>
      <c r="C31" s="123">
        <v>497</v>
      </c>
      <c r="D31" s="123">
        <v>558</v>
      </c>
      <c r="E31" s="103"/>
      <c r="H31" s="125"/>
      <c r="I31" s="125"/>
      <c r="J31" s="124"/>
      <c r="N31" s="102"/>
      <c r="Q31" s="100"/>
      <c r="R31" s="100"/>
      <c r="S31" s="100"/>
      <c r="T31" s="100"/>
      <c r="U31" s="100"/>
      <c r="V31" s="100"/>
      <c r="W31" s="99"/>
      <c r="AB31" s="98"/>
      <c r="AC31" s="97"/>
    </row>
    <row r="32" spans="1:29" ht="14.1" customHeight="1" x14ac:dyDescent="0.2">
      <c r="A32" s="89">
        <f>72*$M$2*0.2581</f>
        <v>1152.1584</v>
      </c>
      <c r="B32" s="123">
        <v>513</v>
      </c>
      <c r="C32" s="123">
        <v>505</v>
      </c>
      <c r="D32" s="123">
        <v>573</v>
      </c>
      <c r="E32" s="103"/>
      <c r="N32" s="102"/>
      <c r="O32" s="106"/>
      <c r="P32" s="105"/>
      <c r="Q32" s="100"/>
      <c r="R32" s="100"/>
      <c r="S32" s="100"/>
      <c r="T32" s="100"/>
      <c r="U32" s="100"/>
      <c r="V32" s="100"/>
      <c r="W32" s="99"/>
      <c r="AB32" s="98"/>
      <c r="AC32" s="97"/>
    </row>
    <row r="33" spans="1:29" ht="14.1" customHeight="1" x14ac:dyDescent="0.2">
      <c r="A33" s="89">
        <f>80*$M$2*0.2581</f>
        <v>1280.1759999999999</v>
      </c>
      <c r="B33" s="123">
        <v>530</v>
      </c>
      <c r="C33" s="123">
        <v>517</v>
      </c>
      <c r="D33" s="123">
        <v>581</v>
      </c>
      <c r="E33" s="103"/>
      <c r="N33" s="102"/>
      <c r="O33" s="106"/>
      <c r="P33" s="105"/>
      <c r="Q33" s="100"/>
      <c r="R33" s="100"/>
      <c r="S33" s="100"/>
      <c r="T33" s="100"/>
      <c r="U33" s="100"/>
      <c r="V33" s="100"/>
      <c r="W33" s="99"/>
      <c r="AB33" s="98"/>
      <c r="AC33" s="97"/>
    </row>
    <row r="34" spans="1:29" ht="14.1" customHeight="1" x14ac:dyDescent="0.2">
      <c r="A34" s="89">
        <f>88*$M$2*0.2581</f>
        <v>1408.1936000000001</v>
      </c>
      <c r="B34" s="123">
        <v>528</v>
      </c>
      <c r="C34" s="123">
        <v>517</v>
      </c>
      <c r="D34" s="123">
        <v>584</v>
      </c>
      <c r="E34" s="103"/>
      <c r="N34" s="102"/>
      <c r="O34" s="106"/>
      <c r="P34" s="105"/>
      <c r="Q34" s="100"/>
      <c r="R34" s="100"/>
      <c r="S34" s="100"/>
      <c r="T34" s="100"/>
      <c r="U34" s="100"/>
      <c r="V34" s="100"/>
      <c r="W34" s="99"/>
      <c r="AB34" s="98"/>
      <c r="AC34" s="97"/>
    </row>
    <row r="35" spans="1:29" ht="14.1" customHeight="1" x14ac:dyDescent="0.2">
      <c r="A35" s="87" t="s">
        <v>120</v>
      </c>
      <c r="B35" s="122">
        <v>1.8320000000000001</v>
      </c>
      <c r="C35" s="121" t="s">
        <v>70</v>
      </c>
      <c r="D35" s="117"/>
      <c r="E35" s="103"/>
      <c r="N35" s="102"/>
      <c r="O35" s="106"/>
      <c r="P35" s="105"/>
      <c r="Q35" s="100"/>
      <c r="R35" s="100"/>
      <c r="S35" s="100"/>
      <c r="T35" s="100"/>
      <c r="U35" s="100"/>
      <c r="V35" s="100"/>
      <c r="W35" s="99"/>
      <c r="AB35" s="98"/>
      <c r="AC35" s="97"/>
    </row>
    <row r="36" spans="1:29" ht="14.1" customHeight="1" x14ac:dyDescent="0.2">
      <c r="A36" s="120" t="s">
        <v>119</v>
      </c>
      <c r="B36" s="119" t="s">
        <v>118</v>
      </c>
      <c r="C36" s="118"/>
      <c r="D36" s="117"/>
      <c r="E36" s="103"/>
      <c r="N36" s="102"/>
      <c r="O36" s="106"/>
      <c r="P36" s="105"/>
      <c r="Q36" s="100"/>
      <c r="R36" s="100"/>
      <c r="S36" s="100"/>
      <c r="T36" s="100"/>
      <c r="U36" s="100"/>
      <c r="V36" s="100"/>
      <c r="W36" s="99"/>
      <c r="AB36" s="98"/>
      <c r="AC36" s="97"/>
    </row>
    <row r="37" spans="1:29" ht="14.1" customHeight="1" thickBot="1" x14ac:dyDescent="0.25">
      <c r="A37" s="116" t="s">
        <v>117</v>
      </c>
      <c r="B37" s="115" t="s">
        <v>116</v>
      </c>
      <c r="C37" s="114"/>
      <c r="D37" s="113"/>
      <c r="E37" s="103"/>
      <c r="N37" s="102"/>
      <c r="O37" s="106"/>
      <c r="P37" s="105"/>
      <c r="Q37" s="100"/>
      <c r="R37" s="100"/>
      <c r="S37" s="100"/>
      <c r="T37" s="100"/>
      <c r="U37" s="100"/>
      <c r="V37" s="100"/>
      <c r="W37" s="99"/>
      <c r="AB37" s="98"/>
      <c r="AC37" s="97"/>
    </row>
    <row r="38" spans="1:29" ht="14.1" customHeight="1" thickBot="1" x14ac:dyDescent="0.25">
      <c r="A38" s="112"/>
      <c r="B38" s="111"/>
      <c r="C38" s="111"/>
      <c r="D38" s="110"/>
      <c r="E38" s="103"/>
      <c r="N38" s="102"/>
      <c r="O38" s="106"/>
      <c r="P38" s="105"/>
      <c r="Q38" s="100"/>
      <c r="R38" s="100"/>
      <c r="S38" s="100"/>
      <c r="T38" s="100"/>
      <c r="U38" s="100"/>
      <c r="V38" s="100"/>
      <c r="W38" s="99"/>
      <c r="AB38" s="98"/>
      <c r="AC38" s="97"/>
    </row>
    <row r="39" spans="1:29" ht="14.1" customHeight="1" x14ac:dyDescent="0.2">
      <c r="A39" s="109" t="s">
        <v>115</v>
      </c>
      <c r="B39" s="108" t="s">
        <v>80</v>
      </c>
      <c r="C39" s="108" t="s">
        <v>81</v>
      </c>
      <c r="D39" s="107" t="s">
        <v>92</v>
      </c>
      <c r="E39" s="103"/>
      <c r="N39" s="102"/>
      <c r="O39" s="106"/>
      <c r="P39" s="105"/>
      <c r="Q39" s="100"/>
      <c r="R39" s="100"/>
      <c r="S39" s="100"/>
      <c r="T39" s="100"/>
      <c r="U39" s="100"/>
      <c r="V39" s="100"/>
      <c r="W39" s="99"/>
      <c r="AB39" s="98"/>
      <c r="AC39" s="97"/>
    </row>
    <row r="40" spans="1:29" ht="14.1" customHeight="1" x14ac:dyDescent="0.2">
      <c r="A40" s="89">
        <f>W6</f>
        <v>8</v>
      </c>
      <c r="B40" s="55">
        <f>Z6</f>
        <v>-285.31748861626073</v>
      </c>
      <c r="C40" s="55">
        <f>AA6</f>
        <v>-331.17176616582498</v>
      </c>
      <c r="D40" s="55">
        <f>AB6</f>
        <v>-34.390708162173198</v>
      </c>
      <c r="E40" s="103"/>
      <c r="N40" s="102"/>
      <c r="O40" s="106"/>
      <c r="P40" s="105"/>
      <c r="Q40" s="100"/>
      <c r="R40" s="100"/>
      <c r="S40" s="100"/>
      <c r="T40" s="100"/>
      <c r="U40" s="100"/>
      <c r="V40" s="100"/>
      <c r="W40" s="99"/>
      <c r="AB40" s="98"/>
      <c r="AC40" s="97"/>
    </row>
    <row r="41" spans="1:29" ht="14.1" customHeight="1" x14ac:dyDescent="0.2">
      <c r="A41" s="89">
        <f>W7</f>
        <v>24</v>
      </c>
      <c r="B41" s="55">
        <f>Z7</f>
        <v>-281.66171766122102</v>
      </c>
      <c r="C41" s="55">
        <f>AA7</f>
        <v>-330.78359288351567</v>
      </c>
      <c r="D41" s="55">
        <f>AB7</f>
        <v>-18.421219631362451</v>
      </c>
      <c r="E41" s="103"/>
      <c r="N41" s="102"/>
      <c r="O41" s="106"/>
      <c r="P41" s="105"/>
      <c r="Q41" s="100"/>
      <c r="R41" s="100"/>
      <c r="S41" s="100"/>
      <c r="T41" s="100"/>
      <c r="U41" s="100"/>
      <c r="V41" s="100"/>
      <c r="W41" s="99"/>
      <c r="AB41" s="98"/>
      <c r="AC41" s="97"/>
    </row>
    <row r="42" spans="1:29" ht="14.1" customHeight="1" x14ac:dyDescent="0.2">
      <c r="A42" s="89">
        <f>W8</f>
        <v>40</v>
      </c>
      <c r="B42" s="55">
        <f>Z8</f>
        <v>-262.50010469847854</v>
      </c>
      <c r="C42" s="55">
        <f>AA8</f>
        <v>-325.89458903828717</v>
      </c>
      <c r="D42" s="55">
        <f>AB8</f>
        <v>-20.270215166931504</v>
      </c>
      <c r="E42" s="103"/>
      <c r="N42" s="102"/>
      <c r="O42" s="106"/>
      <c r="P42" s="105"/>
      <c r="Q42" s="100"/>
      <c r="R42" s="100"/>
      <c r="S42" s="100"/>
      <c r="T42" s="100"/>
      <c r="U42" s="100"/>
      <c r="V42" s="100"/>
      <c r="W42" s="99"/>
      <c r="AB42" s="98"/>
      <c r="AC42" s="97"/>
    </row>
    <row r="43" spans="1:29" ht="14.1" customHeight="1" x14ac:dyDescent="0.2">
      <c r="A43" s="89">
        <f>W9</f>
        <v>56</v>
      </c>
      <c r="B43" s="55">
        <f>Z9</f>
        <v>-260.57323926047263</v>
      </c>
      <c r="C43" s="55">
        <f>AA9</f>
        <v>-315.17810742431891</v>
      </c>
      <c r="D43" s="55">
        <f>AB9</f>
        <v>-16.460460062019532</v>
      </c>
      <c r="E43" s="103"/>
      <c r="N43" s="102"/>
      <c r="O43" s="106"/>
      <c r="P43" s="105"/>
      <c r="Q43" s="100"/>
      <c r="R43" s="100"/>
      <c r="S43" s="100"/>
      <c r="T43" s="100"/>
      <c r="U43" s="100"/>
      <c r="V43" s="100"/>
      <c r="W43" s="99"/>
      <c r="AB43" s="98"/>
      <c r="AC43" s="97"/>
    </row>
    <row r="44" spans="1:29" s="104" customFormat="1" ht="14.1" customHeight="1" x14ac:dyDescent="0.2">
      <c r="A44" s="89">
        <f>W10</f>
        <v>72</v>
      </c>
      <c r="B44" s="55">
        <f>Z10</f>
        <v>-304.94482814740951</v>
      </c>
      <c r="C44" s="55">
        <f>AA10</f>
        <v>-329.36444254515283</v>
      </c>
      <c r="D44" s="55">
        <f>AB10</f>
        <v>-7.4008829483460268</v>
      </c>
      <c r="E44" s="103"/>
      <c r="N44" s="102"/>
      <c r="O44" s="106"/>
      <c r="P44" s="105"/>
      <c r="Q44" s="100"/>
      <c r="R44" s="100"/>
      <c r="S44" s="100"/>
      <c r="T44" s="100"/>
      <c r="U44" s="100"/>
      <c r="V44" s="100"/>
      <c r="W44" s="99"/>
      <c r="X44" s="15"/>
      <c r="Y44" s="15"/>
      <c r="Z44" s="15"/>
      <c r="AA44" s="15"/>
      <c r="AB44" s="98"/>
      <c r="AC44" s="97"/>
    </row>
    <row r="45" spans="1:29" ht="14.1" customHeight="1" x14ac:dyDescent="0.2">
      <c r="A45" s="89">
        <f>W11</f>
        <v>88</v>
      </c>
      <c r="B45" s="55">
        <f>Z11</f>
        <v>-313.74829918907471</v>
      </c>
      <c r="C45" s="55">
        <f>AA11</f>
        <v>-328.80643412955851</v>
      </c>
      <c r="D45" s="55">
        <f>AB11</f>
        <v>-16.524354411813743</v>
      </c>
      <c r="E45" s="103"/>
      <c r="N45" s="102"/>
      <c r="O45" s="101"/>
      <c r="P45" s="100"/>
      <c r="Q45" s="100"/>
      <c r="R45" s="100"/>
      <c r="S45" s="100"/>
      <c r="T45" s="100"/>
      <c r="U45" s="100"/>
      <c r="V45" s="100"/>
      <c r="W45" s="99"/>
      <c r="X45" s="98"/>
      <c r="Y45" s="98"/>
      <c r="Z45" s="99"/>
      <c r="AA45" s="98"/>
      <c r="AB45" s="98"/>
      <c r="AC45" s="97"/>
    </row>
    <row r="46" spans="1:29" ht="14.1" customHeight="1" x14ac:dyDescent="0.2">
      <c r="A46" s="89">
        <f>W12</f>
        <v>112</v>
      </c>
      <c r="B46" s="55">
        <f>Z12</f>
        <v>-254.52272661294856</v>
      </c>
      <c r="C46" s="55">
        <f>AA12</f>
        <v>-277.65482551593578</v>
      </c>
      <c r="D46" s="55">
        <f>AB12</f>
        <v>-21.218135038946794</v>
      </c>
      <c r="E46" s="103"/>
      <c r="N46" s="102"/>
      <c r="O46" s="101"/>
      <c r="P46" s="100"/>
      <c r="Q46" s="100"/>
      <c r="R46" s="100"/>
      <c r="S46" s="100"/>
      <c r="T46" s="100"/>
      <c r="U46" s="100"/>
      <c r="V46" s="100"/>
      <c r="W46" s="99"/>
      <c r="X46" s="98"/>
      <c r="Y46" s="98"/>
      <c r="Z46" s="99"/>
      <c r="AA46" s="98"/>
      <c r="AB46" s="98"/>
      <c r="AC46" s="97"/>
    </row>
    <row r="47" spans="1:29" ht="13.5" customHeight="1" x14ac:dyDescent="0.2">
      <c r="A47" s="89">
        <f>W13</f>
        <v>144</v>
      </c>
      <c r="B47" s="55">
        <f>Z13</f>
        <v>-224.27346425168338</v>
      </c>
      <c r="C47" s="55">
        <f>AA13</f>
        <v>-264.45815529591687</v>
      </c>
      <c r="D47" s="55">
        <f>AB13</f>
        <v>-7.0181108306239599</v>
      </c>
      <c r="E47" s="103"/>
      <c r="N47" s="102"/>
      <c r="O47" s="101"/>
      <c r="P47" s="100"/>
      <c r="Q47" s="100"/>
      <c r="R47" s="100"/>
      <c r="S47" s="100"/>
      <c r="T47" s="100"/>
      <c r="U47" s="100"/>
      <c r="V47" s="100"/>
      <c r="W47" s="99"/>
      <c r="X47" s="98"/>
      <c r="Y47" s="98"/>
      <c r="Z47" s="99"/>
      <c r="AA47" s="98"/>
      <c r="AB47" s="98"/>
      <c r="AC47" s="97"/>
    </row>
    <row r="48" spans="1:29" ht="13.5" customHeight="1" x14ac:dyDescent="0.2">
      <c r="A48" s="89">
        <f>W14</f>
        <v>176</v>
      </c>
      <c r="B48" s="55">
        <f>Z14</f>
        <v>-213.66741552172513</v>
      </c>
      <c r="C48" s="55">
        <f>AA14</f>
        <v>-265.20939832819158</v>
      </c>
      <c r="D48" s="55">
        <f>AB14</f>
        <v>-8.8811993011482624</v>
      </c>
      <c r="E48" s="103"/>
      <c r="F48" s="96"/>
      <c r="N48" s="102"/>
      <c r="O48" s="101"/>
      <c r="P48" s="100"/>
      <c r="Q48" s="100"/>
      <c r="R48" s="100"/>
      <c r="S48" s="100"/>
      <c r="T48" s="100"/>
      <c r="U48" s="100"/>
      <c r="V48" s="100"/>
      <c r="W48" s="99"/>
      <c r="X48" s="98"/>
      <c r="Y48" s="98"/>
      <c r="Z48" s="99"/>
      <c r="AA48" s="98"/>
      <c r="AB48" s="98"/>
      <c r="AC48" s="97"/>
    </row>
    <row r="49" spans="1:31" ht="13.5" customHeight="1" x14ac:dyDescent="0.2">
      <c r="A49" s="89">
        <f>W15</f>
        <v>208</v>
      </c>
      <c r="B49" s="55">
        <f>Z15</f>
        <v>-202.82989082330951</v>
      </c>
      <c r="C49" s="55">
        <f>AA15</f>
        <v>-242.27735860192141</v>
      </c>
      <c r="D49" s="55">
        <f>AB15</f>
        <v>-14.237696370267507</v>
      </c>
      <c r="E49" s="103"/>
      <c r="F49" s="96"/>
      <c r="N49" s="102"/>
      <c r="O49" s="101"/>
      <c r="P49" s="100"/>
      <c r="Q49" s="100"/>
      <c r="R49" s="100"/>
      <c r="S49" s="100"/>
      <c r="T49" s="100"/>
      <c r="U49" s="100"/>
      <c r="V49" s="100"/>
      <c r="W49" s="99"/>
      <c r="X49" s="98"/>
      <c r="Y49" s="98"/>
      <c r="Z49" s="99"/>
      <c r="AA49" s="98"/>
      <c r="AB49" s="98"/>
      <c r="AC49" s="97"/>
    </row>
    <row r="50" spans="1:31" ht="13.5" customHeight="1" x14ac:dyDescent="0.2">
      <c r="A50" s="89">
        <f>W16</f>
        <v>240</v>
      </c>
      <c r="B50" s="55">
        <f>Z16</f>
        <v>-226.34710588802682</v>
      </c>
      <c r="C50" s="55">
        <f>AA16</f>
        <v>-219.93310269110066</v>
      </c>
      <c r="D50" s="55">
        <f>AB16</f>
        <v>-7.5220864707475386</v>
      </c>
      <c r="E50" s="96"/>
      <c r="F50" s="96"/>
      <c r="L50" s="65"/>
      <c r="M50" s="65"/>
      <c r="N50" s="71"/>
      <c r="O50" s="84"/>
      <c r="P50" s="69"/>
      <c r="Q50" s="69"/>
      <c r="R50" s="69"/>
      <c r="S50" s="69"/>
      <c r="T50" s="69"/>
      <c r="U50" s="69"/>
      <c r="V50" s="69"/>
      <c r="W50" s="68"/>
      <c r="X50" s="67"/>
      <c r="Y50" s="67"/>
      <c r="Z50" s="68"/>
      <c r="AA50" s="67"/>
      <c r="AB50" s="67"/>
      <c r="AC50" s="66"/>
      <c r="AD50" s="65"/>
      <c r="AE50" s="65"/>
    </row>
    <row r="51" spans="1:31" ht="13.5" customHeight="1" x14ac:dyDescent="0.2">
      <c r="A51" s="89">
        <f>W17</f>
        <v>288</v>
      </c>
      <c r="B51" s="55">
        <f>Z17</f>
        <v>-230.49847939479096</v>
      </c>
      <c r="C51" s="55">
        <f>AA17</f>
        <v>-221.54723669150761</v>
      </c>
      <c r="D51" s="55">
        <f>AB17</f>
        <v>-9.2154441817960855</v>
      </c>
      <c r="F51" s="96"/>
      <c r="L51" s="65"/>
      <c r="M51" s="65"/>
      <c r="N51" s="71"/>
      <c r="O51" s="84"/>
      <c r="P51" s="69"/>
      <c r="Q51" s="69"/>
      <c r="R51" s="69"/>
      <c r="S51" s="69"/>
      <c r="T51" s="69"/>
      <c r="U51" s="69"/>
      <c r="V51" s="65"/>
      <c r="W51" s="68"/>
      <c r="X51" s="67"/>
      <c r="Y51" s="67"/>
      <c r="Z51" s="68"/>
      <c r="AA51" s="67"/>
      <c r="AB51" s="67"/>
      <c r="AC51" s="66"/>
      <c r="AD51" s="65"/>
      <c r="AE51" s="65"/>
    </row>
    <row r="52" spans="1:31" ht="13.5" customHeight="1" x14ac:dyDescent="0.2">
      <c r="A52" s="89">
        <f>W18</f>
        <v>352</v>
      </c>
      <c r="B52" s="55">
        <f>Z18</f>
        <v>-193.03277252922305</v>
      </c>
      <c r="C52" s="55">
        <f>AA18</f>
        <v>-208.95221981430876</v>
      </c>
      <c r="D52" s="55">
        <f>AB18</f>
        <v>-12.244441125174252</v>
      </c>
      <c r="L52" s="65"/>
      <c r="M52" s="65"/>
      <c r="N52" s="71"/>
      <c r="O52" s="84"/>
      <c r="P52" s="69"/>
      <c r="Q52" s="69"/>
      <c r="R52" s="69"/>
      <c r="S52" s="69"/>
      <c r="T52" s="69"/>
      <c r="U52" s="69"/>
      <c r="V52" s="69"/>
      <c r="W52" s="68"/>
      <c r="X52" s="67"/>
      <c r="Y52" s="67"/>
      <c r="Z52" s="68"/>
      <c r="AA52" s="67"/>
      <c r="AB52" s="67"/>
      <c r="AC52" s="66"/>
      <c r="AD52" s="65"/>
      <c r="AE52" s="65"/>
    </row>
    <row r="53" spans="1:31" ht="13.5" customHeight="1" x14ac:dyDescent="0.2">
      <c r="A53" s="89">
        <f>W19</f>
        <v>448</v>
      </c>
      <c r="B53" s="55">
        <f>Z19</f>
        <v>-164.18155021050515</v>
      </c>
      <c r="C53" s="55">
        <f>AA19</f>
        <v>-165.73915133272661</v>
      </c>
      <c r="D53" s="55">
        <f>AB19</f>
        <v>-5.9588899599524208</v>
      </c>
      <c r="L53" s="65"/>
      <c r="M53" s="65"/>
      <c r="N53" s="71"/>
      <c r="O53" s="84"/>
      <c r="P53" s="69"/>
      <c r="Q53" s="69"/>
      <c r="R53" s="69"/>
      <c r="S53" s="69"/>
      <c r="T53" s="69"/>
      <c r="U53" s="65"/>
      <c r="V53" s="65"/>
      <c r="W53" s="68"/>
      <c r="X53" s="67"/>
      <c r="Y53" s="67"/>
      <c r="Z53" s="68"/>
      <c r="AA53" s="67"/>
      <c r="AB53" s="67"/>
      <c r="AC53" s="66"/>
      <c r="AD53" s="65"/>
      <c r="AE53" s="65"/>
    </row>
    <row r="54" spans="1:31" ht="13.5" customHeight="1" x14ac:dyDescent="0.2">
      <c r="A54" s="89">
        <f>W20</f>
        <v>512</v>
      </c>
      <c r="B54" s="55">
        <f>Z20</f>
        <v>-144.38988073091156</v>
      </c>
      <c r="C54" s="55">
        <f>AA20</f>
        <v>-141.3182183131126</v>
      </c>
      <c r="D54" s="55">
        <f>AB20</f>
        <v>-5.7414961969714868</v>
      </c>
      <c r="L54" s="65"/>
      <c r="M54" s="65"/>
      <c r="N54" s="71"/>
      <c r="O54" s="84"/>
      <c r="P54" s="69"/>
      <c r="Q54" s="69"/>
      <c r="R54" s="69"/>
      <c r="S54" s="69"/>
      <c r="T54" s="69"/>
      <c r="U54" s="65"/>
      <c r="V54" s="88" t="s">
        <v>81</v>
      </c>
      <c r="W54" s="68"/>
      <c r="X54" s="67"/>
      <c r="Y54" s="67"/>
      <c r="Z54" s="68"/>
      <c r="AA54" s="67"/>
      <c r="AB54" s="67"/>
      <c r="AC54" s="66"/>
      <c r="AD54" s="65"/>
      <c r="AE54" s="65"/>
    </row>
    <row r="55" spans="1:31" ht="13.5" customHeight="1" x14ac:dyDescent="0.2">
      <c r="A55" s="89">
        <f>W21</f>
        <v>576</v>
      </c>
      <c r="B55" s="55">
        <f>Z21</f>
        <v>-134.49404599111475</v>
      </c>
      <c r="C55" s="55">
        <f>AA21</f>
        <v>-129.1077518033056</v>
      </c>
      <c r="D55" s="55">
        <f>AB21</f>
        <v>-5.6327993154810194</v>
      </c>
      <c r="L55" s="65"/>
      <c r="M55" s="65"/>
      <c r="N55" s="71"/>
      <c r="O55" s="84"/>
      <c r="P55" s="69"/>
      <c r="Q55" s="69"/>
      <c r="R55" s="69"/>
      <c r="S55" s="69"/>
      <c r="T55" s="69"/>
      <c r="U55" s="69"/>
      <c r="V55" s="69"/>
      <c r="W55" s="68"/>
      <c r="X55" s="67"/>
      <c r="Y55" s="67"/>
      <c r="Z55" s="68"/>
      <c r="AA55" s="67"/>
      <c r="AB55" s="67"/>
      <c r="AC55" s="66"/>
      <c r="AD55" s="65"/>
      <c r="AE55" s="65"/>
    </row>
    <row r="56" spans="1:31" ht="13.5" customHeight="1" x14ac:dyDescent="0.2">
      <c r="A56" s="89">
        <f>W22</f>
        <v>640</v>
      </c>
      <c r="B56" s="55">
        <f>Z22</f>
        <v>-124.59821125131791</v>
      </c>
      <c r="C56" s="55">
        <f>AA22</f>
        <v>-116.89728529349858</v>
      </c>
      <c r="D56" s="55">
        <f>AB22</f>
        <v>-5.5241024339905529</v>
      </c>
      <c r="L56" s="65"/>
      <c r="M56" s="65"/>
      <c r="N56" s="71"/>
      <c r="O56" s="83"/>
      <c r="P56" s="90"/>
      <c r="Q56" s="90"/>
      <c r="R56" s="90"/>
      <c r="S56" s="90"/>
      <c r="T56" s="95" t="str">
        <f>Y28</f>
        <v>circumferential</v>
      </c>
      <c r="U56" s="95"/>
      <c r="V56" s="95"/>
      <c r="W56" s="95"/>
      <c r="X56" s="93"/>
      <c r="Y56" s="93"/>
      <c r="Z56" s="94"/>
      <c r="AA56" s="93"/>
      <c r="AB56" s="93"/>
      <c r="AC56" s="66"/>
      <c r="AD56" s="65"/>
      <c r="AE56" s="65"/>
    </row>
    <row r="57" spans="1:31" ht="13.5" customHeight="1" x14ac:dyDescent="0.2">
      <c r="A57" s="89">
        <f>W23</f>
        <v>768</v>
      </c>
      <c r="B57" s="55">
        <f>Z23</f>
        <v>-86.734742237748151</v>
      </c>
      <c r="C57" s="55">
        <f>AA23</f>
        <v>-85.923825500576356</v>
      </c>
      <c r="D57" s="55">
        <f>AB23</f>
        <v>-2.4791055927839487</v>
      </c>
      <c r="L57" s="65"/>
      <c r="M57" s="65"/>
      <c r="N57" s="92"/>
      <c r="O57" s="84"/>
      <c r="P57" s="69"/>
      <c r="Q57" s="69"/>
      <c r="R57" s="69"/>
      <c r="S57" s="69"/>
      <c r="T57" s="69"/>
      <c r="U57" s="69"/>
      <c r="V57" s="65"/>
      <c r="W57" s="68"/>
      <c r="X57" s="67"/>
      <c r="Y57" s="67"/>
      <c r="Z57" s="68"/>
      <c r="AA57" s="67"/>
      <c r="AB57" s="67"/>
      <c r="AC57" s="91"/>
      <c r="AD57" s="65"/>
      <c r="AE57" s="65"/>
    </row>
    <row r="58" spans="1:31" ht="13.5" customHeight="1" x14ac:dyDescent="0.2">
      <c r="A58" s="89">
        <f>W24</f>
        <v>896</v>
      </c>
      <c r="B58" s="55">
        <f>Z24</f>
        <v>-67.803007730963259</v>
      </c>
      <c r="C58" s="55">
        <f>AA24</f>
        <v>-70.437095604115257</v>
      </c>
      <c r="D58" s="55">
        <f>AB24</f>
        <v>-0.95660717218064661</v>
      </c>
      <c r="L58" s="65"/>
      <c r="M58" s="65"/>
      <c r="N58" s="71"/>
      <c r="O58" s="84"/>
      <c r="P58" s="69"/>
      <c r="Q58" s="69"/>
      <c r="R58" s="69"/>
      <c r="S58" s="69"/>
      <c r="T58" s="90" t="str">
        <f>Y27</f>
        <v>radial</v>
      </c>
      <c r="U58" s="65"/>
      <c r="V58" s="69"/>
      <c r="W58" s="68"/>
      <c r="X58" s="67"/>
      <c r="Y58" s="67"/>
      <c r="Z58" s="68"/>
      <c r="AA58" s="67"/>
      <c r="AB58" s="67"/>
      <c r="AC58" s="66"/>
      <c r="AD58" s="65"/>
      <c r="AE58" s="65"/>
    </row>
    <row r="59" spans="1:31" ht="13.5" customHeight="1" x14ac:dyDescent="0.2">
      <c r="A59" s="89">
        <f>W25</f>
        <v>1024</v>
      </c>
      <c r="B59" s="55">
        <f>Z25</f>
        <v>-48.871273224178395</v>
      </c>
      <c r="C59" s="55">
        <f>AA25</f>
        <v>-54.950365707654157</v>
      </c>
      <c r="D59" s="55">
        <f>AB25</f>
        <v>0.56589124842265548</v>
      </c>
      <c r="L59" s="65"/>
      <c r="M59" s="65"/>
      <c r="N59" s="71"/>
      <c r="O59" s="84"/>
      <c r="P59" s="69"/>
      <c r="Q59" s="69"/>
      <c r="R59" s="69"/>
      <c r="S59" s="69"/>
      <c r="T59" s="69"/>
      <c r="U59" s="88" t="s">
        <v>80</v>
      </c>
      <c r="V59" s="69"/>
      <c r="W59" s="68"/>
      <c r="X59" s="67"/>
      <c r="Y59" s="67"/>
      <c r="Z59" s="68"/>
      <c r="AA59" s="67"/>
      <c r="AB59" s="67"/>
      <c r="AC59" s="66"/>
      <c r="AD59" s="65"/>
      <c r="AE59" s="65"/>
    </row>
    <row r="60" spans="1:31" ht="9" customHeight="1" x14ac:dyDescent="0.2">
      <c r="A60" s="87" t="s">
        <v>114</v>
      </c>
      <c r="B60" s="86" t="s">
        <v>90</v>
      </c>
      <c r="C60" s="86" t="s">
        <v>91</v>
      </c>
      <c r="D60" s="85" t="s">
        <v>113</v>
      </c>
      <c r="L60" s="65"/>
      <c r="M60" s="65"/>
      <c r="N60" s="71"/>
      <c r="O60" s="84"/>
      <c r="P60" s="69"/>
      <c r="Q60" s="69"/>
      <c r="R60" s="69"/>
      <c r="S60" s="69"/>
      <c r="T60" s="69"/>
      <c r="U60" s="69"/>
      <c r="V60" s="69"/>
      <c r="W60" s="68"/>
      <c r="X60" s="67"/>
      <c r="Y60" s="67"/>
      <c r="Z60" s="68"/>
      <c r="AA60" s="67"/>
      <c r="AB60" s="67"/>
      <c r="AC60" s="66"/>
      <c r="AD60" s="65"/>
      <c r="AE60" s="65"/>
    </row>
    <row r="61" spans="1:31" ht="13.5" customHeight="1" x14ac:dyDescent="0.2">
      <c r="A61" s="57">
        <f>W6</f>
        <v>8</v>
      </c>
      <c r="B61" s="56">
        <f>X6</f>
        <v>-266.91214016496508</v>
      </c>
      <c r="C61" s="56">
        <f>Y6</f>
        <v>-349.57711461712063</v>
      </c>
      <c r="D61" s="55">
        <f>N172</f>
        <v>28.154990595214251</v>
      </c>
      <c r="L61" s="65"/>
      <c r="M61" s="65"/>
      <c r="N61" s="71"/>
      <c r="O61" s="83"/>
      <c r="P61" s="81" t="str">
        <f>"Stress directions at depth "&amp;W20&amp;" "&amp;CHAR(181)&amp;"m"</f>
        <v>Stress directions at depth 512 µm</v>
      </c>
      <c r="Q61" s="80"/>
      <c r="R61" s="80"/>
      <c r="S61" s="80"/>
      <c r="T61" s="80"/>
      <c r="U61" s="79"/>
      <c r="V61" s="82"/>
      <c r="W61" s="81" t="str">
        <f>"Stress directions at depth "&amp;W25&amp;" "&amp;CHAR(181)&amp;"m"</f>
        <v>Stress directions at depth 1024 µm</v>
      </c>
      <c r="X61" s="80"/>
      <c r="Y61" s="80"/>
      <c r="Z61" s="80"/>
      <c r="AA61" s="80"/>
      <c r="AB61" s="79"/>
      <c r="AC61" s="66"/>
      <c r="AD61" s="65"/>
      <c r="AE61" s="65"/>
    </row>
    <row r="62" spans="1:31" ht="13.5" customHeight="1" x14ac:dyDescent="0.2">
      <c r="A62" s="57">
        <f>W7</f>
        <v>24</v>
      </c>
      <c r="B62" s="56">
        <f>X7</f>
        <v>-275.52117340185328</v>
      </c>
      <c r="C62" s="56">
        <f>Y7</f>
        <v>-336.92413714288341</v>
      </c>
      <c r="D62" s="55">
        <f>N173</f>
        <v>18.435350458450742</v>
      </c>
      <c r="L62" s="65"/>
      <c r="M62" s="65"/>
      <c r="N62" s="71"/>
      <c r="O62" s="65"/>
      <c r="P62" s="65"/>
      <c r="Q62" s="75" t="s">
        <v>112</v>
      </c>
      <c r="R62" s="78">
        <f>B4</f>
        <v>72</v>
      </c>
      <c r="S62" s="77" t="s">
        <v>111</v>
      </c>
      <c r="T62" s="65"/>
      <c r="U62" s="65"/>
      <c r="V62" s="76"/>
      <c r="W62" s="75" t="s">
        <v>110</v>
      </c>
      <c r="X62" s="74">
        <f>B5</f>
        <v>0.33</v>
      </c>
      <c r="Y62" s="65"/>
      <c r="Z62" s="65"/>
      <c r="AA62" s="73"/>
      <c r="AB62" s="72" t="str">
        <f>Y2</f>
        <v xml:space="preserve">Gauge No. </v>
      </c>
      <c r="AC62" s="66"/>
      <c r="AD62" s="65"/>
      <c r="AE62" s="65"/>
    </row>
    <row r="63" spans="1:31" ht="13.5" customHeight="1" x14ac:dyDescent="0.2">
      <c r="A63" s="57">
        <f>W8</f>
        <v>40</v>
      </c>
      <c r="B63" s="56">
        <f>X8</f>
        <v>-256.57292947633198</v>
      </c>
      <c r="C63" s="56">
        <f>Y8</f>
        <v>-331.82176426043372</v>
      </c>
      <c r="D63" s="55">
        <f>N174</f>
        <v>16.299361878026811</v>
      </c>
      <c r="L63" s="65"/>
      <c r="M63" s="65"/>
      <c r="N63" s="71"/>
      <c r="O63" s="65"/>
      <c r="P63" s="65"/>
      <c r="Q63" s="65"/>
      <c r="R63" s="65"/>
      <c r="S63" s="69"/>
      <c r="T63" s="69"/>
      <c r="U63" s="69"/>
      <c r="V63" s="69"/>
      <c r="W63" s="68"/>
      <c r="X63" s="67"/>
      <c r="Y63" s="67"/>
      <c r="Z63" s="68"/>
      <c r="AA63" s="67"/>
      <c r="AB63" s="67"/>
      <c r="AC63" s="66"/>
      <c r="AD63" s="65"/>
      <c r="AE63" s="65"/>
    </row>
    <row r="64" spans="1:31" ht="13.5" customHeight="1" x14ac:dyDescent="0.2">
      <c r="A64" s="57">
        <f>W9</f>
        <v>56</v>
      </c>
      <c r="B64" s="56">
        <f>X9</f>
        <v>-255.99512045743</v>
      </c>
      <c r="C64" s="56">
        <f>Y9</f>
        <v>-319.75622622736154</v>
      </c>
      <c r="D64" s="55">
        <f>N175</f>
        <v>15.542764567196114</v>
      </c>
      <c r="L64" s="65"/>
      <c r="M64" s="65"/>
      <c r="N64" s="71"/>
      <c r="O64" s="16"/>
      <c r="P64" s="16"/>
      <c r="Q64" s="16"/>
      <c r="R64" s="16"/>
      <c r="S64" s="24"/>
      <c r="T64" s="70"/>
      <c r="U64" s="69"/>
      <c r="V64" s="69"/>
      <c r="W64" s="68"/>
      <c r="X64" s="67"/>
      <c r="Y64" s="67"/>
      <c r="Z64" s="68"/>
      <c r="AA64" s="67"/>
      <c r="AB64" s="67"/>
      <c r="AC64" s="66"/>
      <c r="AD64" s="65"/>
      <c r="AE64" s="65"/>
    </row>
    <row r="65" spans="1:39" ht="13.5" customHeight="1" x14ac:dyDescent="0.2">
      <c r="A65" s="57">
        <f>W10</f>
        <v>72</v>
      </c>
      <c r="B65" s="56">
        <f>X10</f>
        <v>-302.87694434777802</v>
      </c>
      <c r="C65" s="56">
        <f>Y10</f>
        <v>-331.43232634478431</v>
      </c>
      <c r="D65" s="55">
        <f>N176</f>
        <v>15.61093119742176</v>
      </c>
      <c r="E65" s="51"/>
      <c r="F65" s="51"/>
      <c r="G65" s="51"/>
      <c r="H65" s="51"/>
      <c r="I65" s="51"/>
      <c r="J65" s="51"/>
      <c r="K65" s="51"/>
      <c r="L65" s="65"/>
      <c r="M65" s="65"/>
      <c r="N65" s="71"/>
      <c r="S65" s="24"/>
      <c r="T65" s="70"/>
      <c r="U65" s="69"/>
      <c r="V65" s="69"/>
      <c r="W65" s="68"/>
      <c r="X65" s="67"/>
      <c r="Y65" s="67"/>
      <c r="Z65" s="68"/>
      <c r="AA65" s="67"/>
      <c r="AB65" s="67"/>
      <c r="AC65" s="66"/>
      <c r="AD65" s="65"/>
      <c r="AE65" s="65"/>
      <c r="AF65" s="51"/>
      <c r="AG65" s="51"/>
      <c r="AH65" s="51"/>
      <c r="AI65" s="51"/>
      <c r="AJ65" s="51"/>
      <c r="AK65" s="51"/>
      <c r="AL65" s="51"/>
      <c r="AM65" s="51"/>
    </row>
    <row r="66" spans="1:39" ht="13.5" customHeight="1" x14ac:dyDescent="0.2">
      <c r="A66" s="57">
        <f>W11</f>
        <v>88</v>
      </c>
      <c r="B66" s="56">
        <f>X11</f>
        <v>-303.11859066260683</v>
      </c>
      <c r="C66" s="56">
        <f>Y11</f>
        <v>-339.43614265602639</v>
      </c>
      <c r="D66" s="55">
        <f>N177</f>
        <v>32.752203568154741</v>
      </c>
      <c r="E66" s="51"/>
      <c r="F66" s="51"/>
      <c r="G66" s="51"/>
      <c r="H66" s="51"/>
      <c r="I66" s="51"/>
      <c r="J66" s="51"/>
      <c r="K66" s="51"/>
      <c r="L66" s="65"/>
      <c r="M66" s="65"/>
      <c r="N66" s="71"/>
      <c r="S66" s="24"/>
      <c r="T66" s="70"/>
      <c r="U66" s="69"/>
      <c r="V66" s="69"/>
      <c r="W66" s="68"/>
      <c r="X66" s="67"/>
      <c r="Y66" s="67"/>
      <c r="Z66" s="68"/>
      <c r="AA66" s="67"/>
      <c r="AB66" s="67"/>
      <c r="AC66" s="66"/>
      <c r="AD66" s="65"/>
      <c r="AE66" s="65"/>
      <c r="AF66" s="51"/>
      <c r="AG66" s="51"/>
      <c r="AH66" s="51"/>
      <c r="AI66" s="51"/>
      <c r="AJ66" s="51"/>
      <c r="AK66" s="51"/>
      <c r="AL66" s="51"/>
      <c r="AM66" s="51"/>
    </row>
    <row r="67" spans="1:39" ht="13.5" customHeight="1" x14ac:dyDescent="0.2">
      <c r="A67" s="57">
        <f>W12</f>
        <v>112</v>
      </c>
      <c r="B67" s="56">
        <f>X12</f>
        <v>-241.92304093295121</v>
      </c>
      <c r="C67" s="56">
        <f>Y12</f>
        <v>-290.25451119593316</v>
      </c>
      <c r="D67" s="55">
        <f>N178</f>
        <v>30.702580456070255</v>
      </c>
      <c r="E67" s="54"/>
      <c r="F67" s="51"/>
      <c r="G67" s="51"/>
      <c r="H67" s="51"/>
      <c r="I67" s="51"/>
      <c r="J67" s="51"/>
      <c r="K67" s="51"/>
      <c r="L67" s="65"/>
      <c r="M67" s="65"/>
      <c r="N67" s="71"/>
      <c r="S67" s="24"/>
      <c r="T67" s="70"/>
      <c r="U67" s="69"/>
      <c r="V67" s="69"/>
      <c r="W67" s="68"/>
      <c r="X67" s="67"/>
      <c r="Y67" s="67"/>
      <c r="Z67" s="68"/>
      <c r="AA67" s="67"/>
      <c r="AB67" s="67"/>
      <c r="AC67" s="66"/>
      <c r="AD67" s="65"/>
      <c r="AE67" s="65"/>
      <c r="AF67" s="51"/>
      <c r="AG67" s="51"/>
      <c r="AH67" s="51"/>
      <c r="AI67" s="51"/>
      <c r="AJ67" s="51"/>
      <c r="AK67" s="51"/>
      <c r="AL67" s="51"/>
      <c r="AM67" s="51"/>
    </row>
    <row r="68" spans="1:39" ht="13.5" customHeight="1" x14ac:dyDescent="0.2">
      <c r="A68" s="57">
        <f>W13</f>
        <v>144</v>
      </c>
      <c r="B68" s="56">
        <f>X13</f>
        <v>-223.08304143387201</v>
      </c>
      <c r="C68" s="56">
        <f>Y13</f>
        <v>-265.64857811372826</v>
      </c>
      <c r="D68" s="55">
        <f>N179</f>
        <v>9.6269778873256922</v>
      </c>
      <c r="E68" s="51"/>
      <c r="F68" s="51"/>
      <c r="G68" s="51"/>
      <c r="H68" s="51"/>
      <c r="I68" s="51"/>
      <c r="J68" s="51"/>
      <c r="K68" s="51"/>
      <c r="L68" s="65"/>
      <c r="M68" s="65"/>
      <c r="N68" s="71"/>
      <c r="S68" s="24"/>
      <c r="T68" s="70"/>
      <c r="U68" s="69"/>
      <c r="V68" s="69"/>
      <c r="W68" s="68"/>
      <c r="X68" s="67"/>
      <c r="Y68" s="67"/>
      <c r="Z68" s="68"/>
      <c r="AA68" s="67"/>
      <c r="AB68" s="67"/>
      <c r="AC68" s="66"/>
      <c r="AD68" s="65"/>
      <c r="AE68" s="65"/>
      <c r="AF68" s="51"/>
      <c r="AG68" s="51"/>
      <c r="AH68" s="51"/>
      <c r="AI68" s="51"/>
      <c r="AJ68" s="51"/>
      <c r="AK68" s="51"/>
      <c r="AL68" s="51"/>
      <c r="AM68" s="51"/>
    </row>
    <row r="69" spans="1:39" ht="13.5" customHeight="1" x14ac:dyDescent="0.2">
      <c r="A69" s="57">
        <f>W14</f>
        <v>176</v>
      </c>
      <c r="B69" s="56">
        <f>X14</f>
        <v>-212.18001924460873</v>
      </c>
      <c r="C69" s="56">
        <f>Y14</f>
        <v>-266.69679460530801</v>
      </c>
      <c r="D69" s="55">
        <f>N180</f>
        <v>9.5074963646485386</v>
      </c>
      <c r="E69" s="54"/>
      <c r="F69" s="51"/>
      <c r="G69" s="51"/>
      <c r="H69" s="51"/>
      <c r="I69" s="51"/>
      <c r="J69" s="51"/>
      <c r="K69" s="51"/>
      <c r="L69" s="65"/>
      <c r="M69" s="65"/>
      <c r="N69" s="71"/>
      <c r="S69" s="24"/>
      <c r="T69" s="70"/>
      <c r="U69" s="69"/>
      <c r="V69" s="69"/>
      <c r="W69" s="68"/>
      <c r="X69" s="67"/>
      <c r="Y69" s="67"/>
      <c r="Z69" s="68"/>
      <c r="AA69" s="67"/>
      <c r="AB69" s="67"/>
      <c r="AC69" s="66"/>
      <c r="AD69" s="65"/>
      <c r="AE69" s="65"/>
      <c r="AF69" s="51"/>
      <c r="AG69" s="51"/>
      <c r="AH69" s="51"/>
      <c r="AI69" s="51"/>
      <c r="AJ69" s="51"/>
      <c r="AK69" s="51"/>
      <c r="AL69" s="51"/>
      <c r="AM69" s="51"/>
    </row>
    <row r="70" spans="1:39" ht="13.5" customHeight="1" x14ac:dyDescent="0.2">
      <c r="A70" s="57">
        <f>W15</f>
        <v>208</v>
      </c>
      <c r="B70" s="56">
        <f>X15</f>
        <v>-198.22796590410454</v>
      </c>
      <c r="C70" s="56">
        <f>Y15</f>
        <v>-246.87928352112638</v>
      </c>
      <c r="D70" s="55">
        <f>N181</f>
        <v>17.91194676652411</v>
      </c>
      <c r="E70" s="54"/>
      <c r="F70" s="51"/>
      <c r="G70" s="51"/>
      <c r="H70" s="51"/>
      <c r="I70" s="51"/>
      <c r="J70" s="51"/>
      <c r="K70" s="51"/>
      <c r="L70" s="51"/>
      <c r="M70" s="51"/>
      <c r="N70" s="59"/>
      <c r="S70" s="24"/>
      <c r="T70" s="24"/>
      <c r="U70" s="64"/>
      <c r="V70" s="64"/>
      <c r="W70" s="63"/>
      <c r="X70" s="62"/>
      <c r="Y70" s="62"/>
      <c r="Z70" s="63"/>
      <c r="AA70" s="62"/>
      <c r="AB70" s="62"/>
      <c r="AC70" s="52"/>
      <c r="AD70" s="51"/>
      <c r="AE70" s="51"/>
      <c r="AF70" s="51"/>
      <c r="AG70" s="51"/>
      <c r="AH70" s="51"/>
      <c r="AI70" s="51"/>
      <c r="AJ70" s="51"/>
      <c r="AK70" s="51"/>
      <c r="AL70" s="51"/>
      <c r="AM70" s="51"/>
    </row>
    <row r="71" spans="1:39" ht="13.5" customHeight="1" x14ac:dyDescent="0.2">
      <c r="A71" s="57">
        <f>W16</f>
        <v>240</v>
      </c>
      <c r="B71" s="56">
        <f>X16</f>
        <v>-214.96290158167224</v>
      </c>
      <c r="C71" s="56">
        <f>Y16</f>
        <v>-231.31730699745523</v>
      </c>
      <c r="D71" s="55">
        <f>N182</f>
        <v>-33.454665985428761</v>
      </c>
      <c r="E71" s="54"/>
      <c r="F71" s="51"/>
      <c r="G71" s="51"/>
      <c r="H71" s="51"/>
      <c r="I71" s="51"/>
      <c r="J71" s="51"/>
      <c r="K71" s="51"/>
      <c r="L71" s="51"/>
      <c r="M71" s="51"/>
      <c r="N71" s="59"/>
      <c r="S71" s="24"/>
      <c r="T71" s="24"/>
      <c r="U71" s="60"/>
      <c r="V71" s="60"/>
      <c r="W71" s="58"/>
      <c r="X71" s="61"/>
      <c r="Y71" s="61"/>
      <c r="Z71" s="58"/>
      <c r="AA71" s="61"/>
      <c r="AB71" s="61"/>
      <c r="AC71" s="52"/>
      <c r="AD71" s="51"/>
      <c r="AE71" s="51"/>
      <c r="AF71" s="51"/>
      <c r="AG71" s="51"/>
      <c r="AH71" s="51"/>
      <c r="AI71" s="51"/>
      <c r="AJ71" s="51"/>
      <c r="AK71" s="51"/>
      <c r="AL71" s="51"/>
      <c r="AM71" s="51"/>
    </row>
    <row r="72" spans="1:39" ht="13.5" customHeight="1" x14ac:dyDescent="0.2">
      <c r="A72" s="57">
        <f>W17</f>
        <v>288</v>
      </c>
      <c r="B72" s="56">
        <f>X17</f>
        <v>-215.77807410442855</v>
      </c>
      <c r="C72" s="56">
        <f>Y17</f>
        <v>-236.26764198187001</v>
      </c>
      <c r="D72" s="55">
        <f>N183</f>
        <v>-32.047906318198223</v>
      </c>
      <c r="E72" s="54"/>
      <c r="F72" s="51"/>
      <c r="G72" s="51"/>
      <c r="H72" s="51"/>
      <c r="I72" s="51"/>
      <c r="J72" s="51"/>
      <c r="K72" s="51"/>
      <c r="L72" s="51"/>
      <c r="M72" s="51"/>
      <c r="N72" s="59"/>
      <c r="S72" s="24"/>
      <c r="T72" s="24"/>
      <c r="U72" s="60"/>
      <c r="V72" s="60"/>
      <c r="W72" s="58"/>
      <c r="X72" s="61"/>
      <c r="Y72" s="61"/>
      <c r="Z72" s="58"/>
      <c r="AA72" s="61"/>
      <c r="AB72" s="61"/>
      <c r="AC72" s="52"/>
      <c r="AD72" s="51"/>
      <c r="AE72" s="51"/>
      <c r="AF72" s="51"/>
      <c r="AG72" s="51"/>
      <c r="AH72" s="51"/>
      <c r="AI72" s="51"/>
      <c r="AJ72" s="51"/>
      <c r="AK72" s="51"/>
      <c r="AL72" s="51"/>
      <c r="AM72" s="51"/>
    </row>
    <row r="73" spans="1:39" ht="13.5" customHeight="1" x14ac:dyDescent="0.2">
      <c r="A73" s="57">
        <f>W18</f>
        <v>352</v>
      </c>
      <c r="B73" s="56">
        <f>X18</f>
        <v>-186.38826599919213</v>
      </c>
      <c r="C73" s="56">
        <f>Y18</f>
        <v>-215.59672634433969</v>
      </c>
      <c r="D73" s="55">
        <f>N184</f>
        <v>28.486715457030453</v>
      </c>
      <c r="E73" s="54"/>
      <c r="F73" s="51"/>
      <c r="G73" s="51"/>
      <c r="H73" s="51"/>
      <c r="I73" s="51"/>
      <c r="J73" s="51"/>
      <c r="K73" s="51"/>
      <c r="L73" s="51"/>
      <c r="M73" s="51"/>
      <c r="N73" s="59"/>
      <c r="S73" s="24"/>
      <c r="T73" s="24"/>
      <c r="U73" s="60"/>
      <c r="V73" s="60"/>
      <c r="W73" s="58"/>
      <c r="X73" s="58"/>
      <c r="Y73" s="58"/>
      <c r="Z73" s="58"/>
      <c r="AA73" s="58"/>
      <c r="AB73" s="58"/>
      <c r="AC73" s="52"/>
      <c r="AD73" s="51"/>
      <c r="AE73" s="51"/>
      <c r="AF73" s="51"/>
      <c r="AG73" s="51"/>
      <c r="AH73" s="51"/>
      <c r="AI73" s="51"/>
      <c r="AJ73" s="51"/>
      <c r="AK73" s="51"/>
      <c r="AL73" s="51"/>
      <c r="AM73" s="51"/>
    </row>
    <row r="74" spans="1:39" ht="13.5" customHeight="1" x14ac:dyDescent="0.2">
      <c r="A74" s="57">
        <f>W19</f>
        <v>448</v>
      </c>
      <c r="B74" s="56">
        <f>X19</f>
        <v>-158.95078341041523</v>
      </c>
      <c r="C74" s="56">
        <f>Y19</f>
        <v>-170.96991813281653</v>
      </c>
      <c r="D74" s="55">
        <f>N185</f>
        <v>41.276989628679246</v>
      </c>
      <c r="E74" s="54"/>
      <c r="F74" s="51"/>
      <c r="G74" s="51"/>
      <c r="H74" s="51"/>
      <c r="I74" s="51"/>
      <c r="J74" s="51"/>
      <c r="K74" s="51"/>
      <c r="L74" s="51"/>
      <c r="M74" s="51"/>
      <c r="N74" s="59"/>
      <c r="S74" s="36"/>
      <c r="T74" s="36"/>
      <c r="U74" s="54"/>
      <c r="V74" s="54"/>
      <c r="W74" s="54"/>
      <c r="X74" s="54"/>
      <c r="Y74" s="54"/>
      <c r="Z74" s="54"/>
      <c r="AA74" s="54"/>
      <c r="AB74" s="58"/>
      <c r="AC74" s="52"/>
      <c r="AD74" s="51"/>
      <c r="AE74" s="51"/>
      <c r="AF74" s="51"/>
      <c r="AG74" s="51"/>
      <c r="AH74" s="51"/>
      <c r="AI74" s="51"/>
      <c r="AJ74" s="51"/>
      <c r="AK74" s="51"/>
      <c r="AL74" s="51"/>
      <c r="AM74" s="51"/>
    </row>
    <row r="75" spans="1:39" ht="13.5" customHeight="1" x14ac:dyDescent="0.2">
      <c r="A75" s="57">
        <f>W20</f>
        <v>512</v>
      </c>
      <c r="B75" s="56">
        <f>X20</f>
        <v>-136.9106871670763</v>
      </c>
      <c r="C75" s="56">
        <f>Y20</f>
        <v>-148.79741187694785</v>
      </c>
      <c r="D75" s="55">
        <f>N186</f>
        <v>-37.512123354244821</v>
      </c>
      <c r="E75" s="54"/>
      <c r="F75" s="51"/>
      <c r="G75" s="51"/>
      <c r="H75" s="51"/>
      <c r="I75" s="51"/>
      <c r="J75" s="51"/>
      <c r="K75" s="51"/>
      <c r="L75" s="51"/>
      <c r="M75" s="51"/>
      <c r="N75" s="59"/>
      <c r="S75" s="36"/>
      <c r="T75" s="36"/>
      <c r="U75" s="54"/>
      <c r="V75" s="54"/>
      <c r="W75" s="54"/>
      <c r="X75" s="54"/>
      <c r="Y75" s="54"/>
      <c r="Z75" s="54"/>
      <c r="AA75" s="54"/>
      <c r="AB75" s="58"/>
      <c r="AC75" s="52"/>
      <c r="AD75" s="51"/>
      <c r="AE75" s="51"/>
      <c r="AF75" s="51"/>
      <c r="AG75" s="51"/>
      <c r="AH75" s="51"/>
      <c r="AI75" s="51"/>
      <c r="AJ75" s="51"/>
      <c r="AK75" s="51"/>
      <c r="AL75" s="51"/>
      <c r="AM75" s="51"/>
    </row>
    <row r="76" spans="1:39" ht="13.5" customHeight="1" x14ac:dyDescent="0.2">
      <c r="A76" s="57">
        <f>W21</f>
        <v>576</v>
      </c>
      <c r="B76" s="56">
        <f>X21</f>
        <v>-125.55738471064103</v>
      </c>
      <c r="C76" s="56">
        <f>Y21</f>
        <v>-138.04441308377932</v>
      </c>
      <c r="D76" s="55">
        <f>N187</f>
        <v>-32.223353667413072</v>
      </c>
      <c r="E76" s="54"/>
      <c r="F76" s="51"/>
      <c r="G76" s="51"/>
      <c r="H76" s="51"/>
      <c r="I76" s="51"/>
      <c r="J76" s="51"/>
      <c r="K76" s="51"/>
      <c r="L76" s="51"/>
      <c r="M76" s="51"/>
      <c r="N76" s="59"/>
      <c r="S76" s="36"/>
      <c r="T76" s="36"/>
      <c r="U76" s="54"/>
      <c r="V76" s="54"/>
      <c r="W76" s="54"/>
      <c r="X76" s="54"/>
      <c r="Y76" s="54"/>
      <c r="Z76" s="54"/>
      <c r="AA76" s="54"/>
      <c r="AB76" s="58"/>
      <c r="AC76" s="52"/>
      <c r="AD76" s="51"/>
      <c r="AE76" s="51"/>
      <c r="AF76" s="51"/>
      <c r="AG76" s="51"/>
      <c r="AH76" s="51"/>
      <c r="AI76" s="51"/>
      <c r="AJ76" s="51"/>
      <c r="AK76" s="51"/>
      <c r="AL76" s="51"/>
      <c r="AM76" s="51"/>
    </row>
    <row r="77" spans="1:39" ht="13.5" customHeight="1" x14ac:dyDescent="0.2">
      <c r="A77" s="57">
        <f>W22</f>
        <v>640</v>
      </c>
      <c r="B77" s="56">
        <f>X22</f>
        <v>-114.0141182815954</v>
      </c>
      <c r="C77" s="56">
        <f>Y22</f>
        <v>-127.48137826322109</v>
      </c>
      <c r="D77" s="55">
        <f>N188</f>
        <v>-27.561200385658534</v>
      </c>
      <c r="E77" s="54"/>
      <c r="F77" s="51"/>
      <c r="G77" s="51"/>
      <c r="H77" s="51"/>
      <c r="I77" s="51"/>
      <c r="J77" s="51"/>
      <c r="K77" s="51"/>
      <c r="L77" s="51"/>
      <c r="M77" s="51"/>
      <c r="N77" s="59"/>
      <c r="S77" s="36"/>
      <c r="T77" s="36"/>
      <c r="U77" s="54"/>
      <c r="V77" s="54"/>
      <c r="W77" s="54"/>
      <c r="X77" s="54"/>
      <c r="Y77" s="54"/>
      <c r="Z77" s="54"/>
      <c r="AA77" s="54"/>
      <c r="AB77" s="58"/>
      <c r="AC77" s="52"/>
      <c r="AD77" s="52"/>
      <c r="AE77" s="51"/>
      <c r="AF77" s="51"/>
      <c r="AG77" s="51"/>
      <c r="AH77" s="51"/>
      <c r="AI77" s="51"/>
      <c r="AJ77" s="51"/>
      <c r="AK77" s="51"/>
      <c r="AL77" s="51"/>
      <c r="AM77" s="51"/>
    </row>
    <row r="78" spans="1:39" ht="13.5" customHeight="1" x14ac:dyDescent="0.2">
      <c r="A78" s="57">
        <f>W23</f>
        <v>768</v>
      </c>
      <c r="B78" s="56">
        <f>X23</f>
        <v>-83.817240671120274</v>
      </c>
      <c r="C78" s="56">
        <f>Y23</f>
        <v>-88.841327067204233</v>
      </c>
      <c r="D78" s="55">
        <f>N189</f>
        <v>-40.355770876862053</v>
      </c>
      <c r="E78" s="54"/>
      <c r="F78" s="51"/>
      <c r="G78" s="51"/>
      <c r="H78" s="51"/>
      <c r="I78" s="54"/>
      <c r="J78" s="53"/>
      <c r="K78" s="51"/>
      <c r="L78" s="51"/>
      <c r="M78" s="51"/>
      <c r="N78" s="51"/>
      <c r="S78" s="16"/>
      <c r="T78" s="16"/>
      <c r="U78" s="51"/>
      <c r="V78" s="53"/>
      <c r="W78" s="53"/>
      <c r="X78" s="53"/>
      <c r="Y78" s="53"/>
      <c r="Z78" s="53"/>
      <c r="AA78" s="53"/>
      <c r="AB78" s="53"/>
      <c r="AC78" s="51"/>
      <c r="AD78" s="52"/>
      <c r="AE78" s="51"/>
      <c r="AF78" s="51"/>
      <c r="AG78" s="51"/>
      <c r="AH78" s="51"/>
      <c r="AI78" s="51"/>
      <c r="AJ78" s="51"/>
      <c r="AK78" s="51"/>
      <c r="AL78" s="51"/>
      <c r="AM78" s="51"/>
    </row>
    <row r="79" spans="1:39" ht="13.5" customHeight="1" x14ac:dyDescent="0.2">
      <c r="A79" s="57">
        <f>W24</f>
        <v>896</v>
      </c>
      <c r="B79" s="56">
        <f>X24</f>
        <v>-67.49226113656205</v>
      </c>
      <c r="C79" s="56">
        <f>Y24</f>
        <v>-70.747842198516466</v>
      </c>
      <c r="D79" s="55">
        <f>N190</f>
        <v>17.996020952033636</v>
      </c>
      <c r="E79" s="54"/>
      <c r="F79" s="51"/>
      <c r="G79" s="51"/>
      <c r="H79" s="51"/>
      <c r="I79" s="54"/>
      <c r="J79" s="53"/>
      <c r="K79" s="51"/>
      <c r="L79" s="51"/>
      <c r="M79" s="51"/>
      <c r="N79" s="51"/>
      <c r="S79" s="16"/>
      <c r="T79" s="16"/>
      <c r="U79" s="51"/>
      <c r="V79" s="53"/>
      <c r="W79" s="53"/>
      <c r="X79" s="53"/>
      <c r="Y79" s="53"/>
      <c r="Z79" s="53"/>
      <c r="AA79" s="53"/>
      <c r="AB79" s="53"/>
      <c r="AC79" s="51"/>
      <c r="AD79" s="52"/>
      <c r="AE79" s="51"/>
      <c r="AF79" s="51"/>
      <c r="AG79" s="51"/>
      <c r="AH79" s="51"/>
      <c r="AI79" s="51"/>
      <c r="AJ79" s="51"/>
      <c r="AK79" s="51"/>
      <c r="AL79" s="51"/>
      <c r="AM79" s="51"/>
    </row>
    <row r="80" spans="1:39" ht="13.5" customHeight="1" x14ac:dyDescent="0.2">
      <c r="A80" s="57">
        <f>W25</f>
        <v>1024</v>
      </c>
      <c r="B80" s="56">
        <f>X25</f>
        <v>-48.819044205535242</v>
      </c>
      <c r="C80" s="56">
        <f>Y25</f>
        <v>-55.002594726297311</v>
      </c>
      <c r="D80" s="55">
        <f>N191</f>
        <v>-5.2731896556971671</v>
      </c>
      <c r="E80" s="54"/>
      <c r="F80" s="51"/>
      <c r="G80" s="51"/>
      <c r="H80" s="51"/>
      <c r="I80" s="54"/>
      <c r="J80" s="53"/>
      <c r="K80" s="51"/>
      <c r="L80" s="51"/>
      <c r="M80" s="51"/>
      <c r="N80" s="51"/>
      <c r="S80" s="16"/>
      <c r="T80" s="16"/>
      <c r="U80" s="51"/>
      <c r="V80" s="53"/>
      <c r="W80" s="53"/>
      <c r="X80" s="53"/>
      <c r="Y80" s="53"/>
      <c r="Z80" s="53"/>
      <c r="AA80" s="53"/>
      <c r="AB80" s="53"/>
      <c r="AC80" s="51"/>
      <c r="AD80" s="52"/>
      <c r="AE80" s="51"/>
      <c r="AF80" s="51"/>
      <c r="AG80" s="51"/>
      <c r="AH80" s="51"/>
      <c r="AI80" s="51"/>
      <c r="AJ80" s="51"/>
      <c r="AK80" s="51"/>
      <c r="AL80" s="51"/>
      <c r="AM80" s="51"/>
    </row>
    <row r="81" spans="1:39" s="45" customFormat="1" ht="9.9499999999999993" customHeight="1" x14ac:dyDescent="0.2">
      <c r="A81" s="49"/>
      <c r="B81" s="50"/>
      <c r="C81" s="50"/>
      <c r="D81" s="49"/>
      <c r="E81" s="48"/>
      <c r="F81" s="46"/>
      <c r="G81" s="46"/>
      <c r="H81" s="46"/>
      <c r="I81" s="48"/>
      <c r="J81" s="47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7"/>
      <c r="W81" s="47"/>
      <c r="X81" s="47"/>
      <c r="Y81" s="47"/>
      <c r="Z81" s="47"/>
      <c r="AA81" s="47"/>
      <c r="AB81" s="47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</row>
    <row r="82" spans="1:39" s="40" customFormat="1" ht="9.9499999999999993" customHeight="1" x14ac:dyDescent="0.2">
      <c r="B82" s="44"/>
      <c r="C82" s="44"/>
      <c r="E82" s="43"/>
      <c r="I82" s="43"/>
      <c r="J82" s="41"/>
      <c r="O82" s="42"/>
      <c r="P82" s="43"/>
      <c r="Q82" s="43"/>
      <c r="R82" s="42"/>
      <c r="V82" s="41"/>
      <c r="W82" s="41"/>
      <c r="X82" s="41"/>
      <c r="Y82" s="41"/>
      <c r="Z82" s="41"/>
      <c r="AA82" s="41"/>
      <c r="AB82" s="41"/>
    </row>
    <row r="83" spans="1:39" s="17" customFormat="1" ht="0.95" customHeight="1" x14ac:dyDescent="0.2">
      <c r="B83" s="39"/>
      <c r="C83" s="39"/>
      <c r="E83" s="26"/>
      <c r="I83" s="26"/>
      <c r="J83" s="29"/>
      <c r="O83" s="31"/>
      <c r="P83" s="26"/>
      <c r="Q83" s="26"/>
      <c r="R83" s="31"/>
      <c r="V83" s="29"/>
      <c r="W83" s="29"/>
      <c r="X83" s="29"/>
      <c r="Y83" s="29"/>
      <c r="Z83" s="29"/>
      <c r="AA83" s="29"/>
      <c r="AB83" s="29"/>
    </row>
    <row r="84" spans="1:39" s="17" customFormat="1" ht="0.95" customHeight="1" x14ac:dyDescent="0.2">
      <c r="E84" s="26"/>
      <c r="I84" s="26"/>
      <c r="J84" s="29"/>
      <c r="O84" s="31"/>
      <c r="P84" s="26"/>
      <c r="Q84" s="26"/>
      <c r="R84" s="31"/>
      <c r="V84" s="29"/>
      <c r="W84" s="29"/>
      <c r="X84" s="29"/>
      <c r="Y84" s="29"/>
      <c r="Z84" s="29"/>
      <c r="AA84" s="29"/>
      <c r="AB84" s="29"/>
    </row>
    <row r="85" spans="1:39" s="17" customFormat="1" ht="0.95" customHeight="1" x14ac:dyDescent="0.2">
      <c r="E85" s="26"/>
      <c r="I85" s="26"/>
      <c r="J85" s="29"/>
      <c r="O85" s="31"/>
      <c r="P85" s="26"/>
      <c r="Q85" s="26"/>
      <c r="R85" s="31"/>
      <c r="V85" s="29"/>
      <c r="W85" s="29"/>
      <c r="X85" s="29"/>
      <c r="Y85" s="29"/>
      <c r="Z85" s="29"/>
      <c r="AA85" s="29"/>
      <c r="AB85" s="29"/>
    </row>
    <row r="86" spans="1:39" s="17" customFormat="1" ht="0.95" customHeight="1" x14ac:dyDescent="0.2">
      <c r="E86" s="26"/>
      <c r="F86" s="29">
        <f>B35*62/(5.131*M2)</f>
        <v>0.35704541025141295</v>
      </c>
      <c r="I86" s="26"/>
      <c r="J86" s="26"/>
      <c r="K86" s="38"/>
      <c r="L86" s="34"/>
      <c r="M86" s="34"/>
      <c r="N86" s="34"/>
      <c r="S86" s="34"/>
      <c r="T86" s="34"/>
      <c r="U86" s="34"/>
      <c r="V86" s="38"/>
      <c r="W86" s="26"/>
      <c r="X86" s="29">
        <f>B35*62/(5.131*M2)</f>
        <v>0.35704541025141295</v>
      </c>
      <c r="Y86" s="26"/>
      <c r="Z86" s="26"/>
      <c r="AA86" s="26"/>
      <c r="AB86" s="26"/>
      <c r="AC86" s="38"/>
      <c r="AD86" s="32"/>
      <c r="AE86" s="32"/>
      <c r="AF86" s="32"/>
      <c r="AG86" s="32"/>
      <c r="AH86" s="32"/>
      <c r="AI86" s="32"/>
      <c r="AJ86" s="32"/>
      <c r="AK86" s="32"/>
      <c r="AL86" s="32"/>
      <c r="AM86" s="32"/>
    </row>
    <row r="87" spans="1:39" s="17" customFormat="1" ht="0.95" customHeight="1" x14ac:dyDescent="0.2">
      <c r="A87" s="35">
        <v>1</v>
      </c>
      <c r="B87" s="36">
        <f>(S6+U6)/2</f>
        <v>8.5</v>
      </c>
      <c r="C87" s="36">
        <f>(U6-S6)/2</f>
        <v>1</v>
      </c>
      <c r="D87" s="35">
        <f>B87-T6</f>
        <v>1.5</v>
      </c>
      <c r="E87" s="26"/>
      <c r="F87" s="31">
        <v>10.288469396718646</v>
      </c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>
        <v>21.75</v>
      </c>
      <c r="Y87" s="31" t="s">
        <v>109</v>
      </c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</row>
    <row r="88" spans="1:39" s="17" customFormat="1" ht="0.95" customHeight="1" x14ac:dyDescent="0.2">
      <c r="A88" s="35">
        <v>2</v>
      </c>
      <c r="B88" s="36">
        <f>(S7+U7)/2</f>
        <v>18.125</v>
      </c>
      <c r="C88" s="36">
        <f>(U7-S7)/2</f>
        <v>2.125</v>
      </c>
      <c r="D88" s="35">
        <f>B88-T7</f>
        <v>2.375</v>
      </c>
      <c r="E88" s="26"/>
      <c r="F88" s="31">
        <v>11.270387526038006</v>
      </c>
      <c r="G88" s="31">
        <v>22.145965310086737</v>
      </c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>
        <v>22.671875</v>
      </c>
      <c r="Y88" s="31">
        <v>44.75</v>
      </c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</row>
    <row r="89" spans="1:39" s="17" customFormat="1" ht="0.95" customHeight="1" x14ac:dyDescent="0.2">
      <c r="A89" s="35">
        <v>3</v>
      </c>
      <c r="B89" s="36">
        <f>(S8+U8)/2</f>
        <v>28.375</v>
      </c>
      <c r="C89" s="36">
        <f>(U8-S8)/2</f>
        <v>3.625</v>
      </c>
      <c r="D89" s="35">
        <f>B89-T8</f>
        <v>3.375</v>
      </c>
      <c r="E89" s="26"/>
      <c r="F89" s="31">
        <v>12.169735388799817</v>
      </c>
      <c r="G89" s="31">
        <v>24.014332861025967</v>
      </c>
      <c r="H89" s="31">
        <v>35.307127173183872</v>
      </c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>
        <v>23.59375</v>
      </c>
      <c r="Y89" s="31">
        <v>46.59375</v>
      </c>
      <c r="Z89" s="31">
        <v>69</v>
      </c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</row>
    <row r="90" spans="1:39" s="17" customFormat="1" ht="0.95" customHeight="1" x14ac:dyDescent="0.2">
      <c r="A90" s="35">
        <v>4</v>
      </c>
      <c r="B90" s="36">
        <f>(S9+U9)/2</f>
        <v>39.25</v>
      </c>
      <c r="C90" s="36">
        <f>(U9-S9)/2</f>
        <v>5</v>
      </c>
      <c r="D90" s="35">
        <f>B90-T9</f>
        <v>4.25</v>
      </c>
      <c r="E90" s="26"/>
      <c r="F90" s="31">
        <v>13.00971937351459</v>
      </c>
      <c r="G90" s="31">
        <v>25.707398818507862</v>
      </c>
      <c r="H90" s="31">
        <v>37.980618049519883</v>
      </c>
      <c r="I90" s="31">
        <v>49.59181877953943</v>
      </c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>
        <v>24.515625</v>
      </c>
      <c r="Y90" s="31">
        <v>48.4375</v>
      </c>
      <c r="Z90" s="31">
        <v>71.765625</v>
      </c>
      <c r="AA90" s="31">
        <v>94.5</v>
      </c>
      <c r="AB90" s="31"/>
      <c r="AC90" s="31"/>
      <c r="AD90" s="31"/>
      <c r="AE90" s="31"/>
      <c r="AF90" s="31"/>
      <c r="AG90" s="31"/>
      <c r="AH90" s="31"/>
      <c r="AI90" s="31"/>
      <c r="AJ90" s="31"/>
      <c r="AK90" s="31"/>
      <c r="AL90" s="31"/>
      <c r="AM90" s="31"/>
    </row>
    <row r="91" spans="1:39" s="17" customFormat="1" ht="0.95" customHeight="1" x14ac:dyDescent="0.2">
      <c r="A91" s="35">
        <v>5</v>
      </c>
      <c r="B91" s="36">
        <f>(S10+U10)/2</f>
        <v>51.75</v>
      </c>
      <c r="C91" s="36">
        <f>(U10-S10)/2</f>
        <v>5.75</v>
      </c>
      <c r="D91" s="35">
        <f>B91-T10</f>
        <v>4.75</v>
      </c>
      <c r="E91" s="26"/>
      <c r="F91" s="31">
        <v>13.800499612039134</v>
      </c>
      <c r="G91" s="31">
        <v>27.286431666530213</v>
      </c>
      <c r="H91" s="31">
        <v>40.393367339297875</v>
      </c>
      <c r="I91" s="31">
        <v>53.000435929983595</v>
      </c>
      <c r="J91" s="31">
        <v>64.857327171718453</v>
      </c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>
        <v>25.4375</v>
      </c>
      <c r="Y91" s="31">
        <v>50.28125</v>
      </c>
      <c r="Z91" s="31">
        <v>74.53125</v>
      </c>
      <c r="AA91" s="31">
        <v>98.1875</v>
      </c>
      <c r="AB91" s="31">
        <v>121.25</v>
      </c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</row>
    <row r="92" spans="1:39" s="17" customFormat="1" ht="0.95" customHeight="1" x14ac:dyDescent="0.2">
      <c r="A92" s="35">
        <v>6</v>
      </c>
      <c r="B92" s="36">
        <f>(S11+U11)/2</f>
        <v>65.0625</v>
      </c>
      <c r="C92" s="36">
        <f>(U11-S11)/2</f>
        <v>6.3125</v>
      </c>
      <c r="D92" s="35">
        <f>B92-T11</f>
        <v>5.6875</v>
      </c>
      <c r="E92" s="26"/>
      <c r="F92" s="31">
        <v>14.542193749952968</v>
      </c>
      <c r="G92" s="31">
        <v>28.76408759890499</v>
      </c>
      <c r="H92" s="31">
        <v>42.625265782832635</v>
      </c>
      <c r="I92" s="31">
        <v>56.050897367385751</v>
      </c>
      <c r="J92" s="31">
        <v>68.911886491939612</v>
      </c>
      <c r="K92" s="31">
        <v>80.942260011376646</v>
      </c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>
        <v>26.359375</v>
      </c>
      <c r="Y92" s="31">
        <v>52.125</v>
      </c>
      <c r="Z92" s="31">
        <v>77.296875</v>
      </c>
      <c r="AA92" s="31">
        <v>101.875</v>
      </c>
      <c r="AB92" s="31">
        <v>125.859375</v>
      </c>
      <c r="AC92" s="31">
        <v>149.25</v>
      </c>
      <c r="AD92" s="31"/>
      <c r="AE92" s="31"/>
      <c r="AF92" s="31"/>
      <c r="AG92" s="31"/>
      <c r="AH92" s="31"/>
      <c r="AI92" s="31"/>
      <c r="AJ92" s="31"/>
      <c r="AK92" s="31"/>
      <c r="AL92" s="31"/>
      <c r="AM92" s="31"/>
    </row>
    <row r="93" spans="1:39" s="17" customFormat="1" ht="0.95" customHeight="1" x14ac:dyDescent="0.2">
      <c r="A93" s="24">
        <v>7</v>
      </c>
      <c r="B93" s="36">
        <f>(S12+U12)/2</f>
        <v>89.875</v>
      </c>
      <c r="C93" s="36">
        <f>(U12-S12)/2</f>
        <v>7.875</v>
      </c>
      <c r="D93" s="35">
        <f>B93-T12</f>
        <v>8.125</v>
      </c>
      <c r="E93" s="26"/>
      <c r="F93" s="31">
        <v>15.925964004302708</v>
      </c>
      <c r="G93" s="31">
        <v>31.521255701671482</v>
      </c>
      <c r="H93" s="31">
        <v>46.769237776617693</v>
      </c>
      <c r="I93" s="31">
        <v>61.633629317559787</v>
      </c>
      <c r="J93" s="31">
        <v>76.059581751806519</v>
      </c>
      <c r="K93" s="31">
        <v>89.973111447401848</v>
      </c>
      <c r="L93" s="31">
        <v>115.34813466453178</v>
      </c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>
        <v>28.203125</v>
      </c>
      <c r="Y93" s="31">
        <v>55.8125</v>
      </c>
      <c r="Z93" s="31">
        <v>82.828125</v>
      </c>
      <c r="AA93" s="31">
        <v>109.25</v>
      </c>
      <c r="AB93" s="31">
        <v>135.078125</v>
      </c>
      <c r="AC93" s="31">
        <v>160.3125</v>
      </c>
      <c r="AD93" s="31">
        <v>209</v>
      </c>
      <c r="AE93" s="31"/>
      <c r="AF93" s="31"/>
      <c r="AG93" s="31"/>
      <c r="AH93" s="31"/>
      <c r="AI93" s="31"/>
      <c r="AJ93" s="31"/>
      <c r="AK93" s="31"/>
      <c r="AL93" s="31"/>
      <c r="AM93" s="31"/>
    </row>
    <row r="94" spans="1:39" s="17" customFormat="1" ht="0.95" customHeight="1" x14ac:dyDescent="0.2">
      <c r="A94" s="24">
        <v>8</v>
      </c>
      <c r="B94" s="36">
        <f>(S13+U13)/2</f>
        <v>114.875</v>
      </c>
      <c r="C94" s="36">
        <f>(U13-S13)/2</f>
        <v>10.375</v>
      </c>
      <c r="D94" s="35">
        <f>B94-T13</f>
        <v>9.375</v>
      </c>
      <c r="E94" s="26"/>
      <c r="F94" s="31">
        <v>17.18094651309034</v>
      </c>
      <c r="G94" s="31">
        <v>34.025507652311113</v>
      </c>
      <c r="H94" s="31">
        <v>50.526637378696464</v>
      </c>
      <c r="I94" s="31">
        <v>66.663259372578196</v>
      </c>
      <c r="J94" s="31">
        <v>82.401589836262943</v>
      </c>
      <c r="K94" s="31">
        <v>97.695386145365845</v>
      </c>
      <c r="L94" s="31">
        <v>126.64162550782095</v>
      </c>
      <c r="M94" s="31">
        <v>152.32852961385873</v>
      </c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>
        <v>30.046875</v>
      </c>
      <c r="Y94" s="31">
        <v>59.5</v>
      </c>
      <c r="Z94" s="31">
        <v>88.359375</v>
      </c>
      <c r="AA94" s="31">
        <v>116.625</v>
      </c>
      <c r="AB94" s="31">
        <v>144.296875</v>
      </c>
      <c r="AC94" s="31">
        <v>171.375</v>
      </c>
      <c r="AD94" s="31">
        <v>223.75</v>
      </c>
      <c r="AE94" s="31">
        <v>273.75</v>
      </c>
      <c r="AF94" s="31"/>
      <c r="AG94" s="31"/>
      <c r="AH94" s="31"/>
      <c r="AI94" s="31"/>
      <c r="AJ94" s="31"/>
      <c r="AK94" s="31"/>
      <c r="AL94" s="31"/>
      <c r="AM94" s="31"/>
    </row>
    <row r="95" spans="1:39" s="17" customFormat="1" ht="0.95" customHeight="1" x14ac:dyDescent="0.2">
      <c r="A95" s="24">
        <v>9</v>
      </c>
      <c r="B95" s="36">
        <f>(S14+U14)/2</f>
        <v>140.625</v>
      </c>
      <c r="C95" s="36">
        <f>(U14-S14)/2</f>
        <v>13.625</v>
      </c>
      <c r="D95" s="35">
        <f>B95-T14</f>
        <v>10.875</v>
      </c>
      <c r="E95" s="26"/>
      <c r="F95" s="31">
        <v>18.31640553061327</v>
      </c>
      <c r="G95" s="31">
        <v>36.294365601546012</v>
      </c>
      <c r="H95" s="31">
        <v>53.931059827445253</v>
      </c>
      <c r="I95" s="31">
        <v>71.213455428675104</v>
      </c>
      <c r="J95" s="31">
        <v>88.119208367112606</v>
      </c>
      <c r="K95" s="31">
        <v>104.61745241712759</v>
      </c>
      <c r="L95" s="31">
        <v>136.18657801515999</v>
      </c>
      <c r="M95" s="31">
        <v>165.46410902312343</v>
      </c>
      <c r="N95" s="31">
        <v>191.2105896519198</v>
      </c>
      <c r="O95" s="31"/>
      <c r="P95" s="31"/>
      <c r="Q95" s="31"/>
      <c r="R95" s="31"/>
      <c r="S95" s="31"/>
      <c r="T95" s="31"/>
      <c r="U95" s="31"/>
      <c r="V95" s="31"/>
      <c r="W95" s="31"/>
      <c r="X95" s="31">
        <v>31.890625</v>
      </c>
      <c r="Y95" s="31">
        <v>63.1875</v>
      </c>
      <c r="Z95" s="31">
        <v>93.890625</v>
      </c>
      <c r="AA95" s="31">
        <v>124</v>
      </c>
      <c r="AB95" s="31">
        <v>153.515625</v>
      </c>
      <c r="AC95" s="31">
        <v>182.4375</v>
      </c>
      <c r="AD95" s="31">
        <v>238.5</v>
      </c>
      <c r="AE95" s="31">
        <v>292.1875</v>
      </c>
      <c r="AF95" s="31">
        <v>343.5</v>
      </c>
      <c r="AG95" s="31"/>
      <c r="AH95" s="31"/>
      <c r="AI95" s="31"/>
      <c r="AJ95" s="31"/>
      <c r="AK95" s="31"/>
      <c r="AL95" s="31"/>
      <c r="AM95" s="31"/>
    </row>
    <row r="96" spans="1:39" s="17" customFormat="1" ht="0.95" customHeight="1" x14ac:dyDescent="0.2">
      <c r="A96" s="37">
        <v>10</v>
      </c>
      <c r="B96" s="36">
        <f>(S15+U15)/2</f>
        <v>166</v>
      </c>
      <c r="C96" s="36">
        <f>(U15-S15)/2</f>
        <v>16.5</v>
      </c>
      <c r="D96" s="35">
        <f>B96-T15</f>
        <v>13</v>
      </c>
      <c r="E96" s="26"/>
      <c r="F96" s="31">
        <v>19.344680089502823</v>
      </c>
      <c r="G96" s="31">
        <v>38.350771346316336</v>
      </c>
      <c r="H96" s="31">
        <v>57.01723983215804</v>
      </c>
      <c r="I96" s="31">
        <v>75.335549109592179</v>
      </c>
      <c r="J96" s="31">
        <v>93.290041040008745</v>
      </c>
      <c r="K96" s="31">
        <v>110.85858461935462</v>
      </c>
      <c r="L96" s="31">
        <v>144.69198114996559</v>
      </c>
      <c r="M96" s="31">
        <v>176.52241128749458</v>
      </c>
      <c r="N96" s="31">
        <v>205.86603050184115</v>
      </c>
      <c r="O96" s="31">
        <v>231.45778174221343</v>
      </c>
      <c r="P96" s="31"/>
      <c r="Q96" s="31"/>
      <c r="R96" s="31"/>
      <c r="S96" s="31"/>
      <c r="T96" s="31"/>
      <c r="U96" s="31"/>
      <c r="V96" s="31"/>
      <c r="W96" s="31"/>
      <c r="X96" s="31">
        <v>33.734375</v>
      </c>
      <c r="Y96" s="31">
        <v>66.875</v>
      </c>
      <c r="Z96" s="31">
        <v>99.421875</v>
      </c>
      <c r="AA96" s="31">
        <v>131.375</v>
      </c>
      <c r="AB96" s="31">
        <v>162.734375</v>
      </c>
      <c r="AC96" s="31">
        <v>193.5</v>
      </c>
      <c r="AD96" s="31">
        <v>253.25</v>
      </c>
      <c r="AE96" s="31">
        <v>310.625</v>
      </c>
      <c r="AF96" s="31">
        <v>365.625</v>
      </c>
      <c r="AG96" s="31">
        <v>418.25</v>
      </c>
      <c r="AH96" s="31"/>
      <c r="AI96" s="31"/>
      <c r="AJ96" s="31"/>
      <c r="AK96" s="31"/>
      <c r="AL96" s="31"/>
      <c r="AM96" s="31"/>
    </row>
    <row r="97" spans="1:39" s="17" customFormat="1" ht="0.95" customHeight="1" x14ac:dyDescent="0.2">
      <c r="A97" s="37">
        <v>11</v>
      </c>
      <c r="B97" s="36">
        <f>(S16+U16)/2</f>
        <v>191.5625</v>
      </c>
      <c r="C97" s="36">
        <f>(U16-S16)/2</f>
        <v>17.1875</v>
      </c>
      <c r="D97" s="35">
        <f>B97-T16</f>
        <v>14.5625</v>
      </c>
      <c r="E97" s="26"/>
      <c r="F97" s="31">
        <v>20.263318488931397</v>
      </c>
      <c r="G97" s="31">
        <v>40.188959150855311</v>
      </c>
      <c r="H97" s="31">
        <v>59.776542473208842</v>
      </c>
      <c r="I97" s="31">
        <v>79.020093035931751</v>
      </c>
      <c r="J97" s="31">
        <v>97.908023136077901</v>
      </c>
      <c r="K97" s="31">
        <v>116.42359581821741</v>
      </c>
      <c r="L97" s="31">
        <v>152.22668218046141</v>
      </c>
      <c r="M97" s="31">
        <v>186.19690828148939</v>
      </c>
      <c r="N97" s="31">
        <v>217.99440586254767</v>
      </c>
      <c r="O97" s="31">
        <v>247.12581753612477</v>
      </c>
      <c r="P97" s="31">
        <v>272.2839938817275</v>
      </c>
      <c r="Q97" s="31"/>
      <c r="R97" s="31"/>
      <c r="S97" s="31"/>
      <c r="T97" s="31"/>
      <c r="U97" s="31"/>
      <c r="V97" s="31"/>
      <c r="W97" s="31"/>
      <c r="X97" s="31">
        <v>35.578125</v>
      </c>
      <c r="Y97" s="31">
        <v>70.5625</v>
      </c>
      <c r="Z97" s="31">
        <v>104.953125</v>
      </c>
      <c r="AA97" s="31">
        <v>138.75</v>
      </c>
      <c r="AB97" s="31">
        <v>171.953125</v>
      </c>
      <c r="AC97" s="31">
        <v>204.5625</v>
      </c>
      <c r="AD97" s="31">
        <v>268</v>
      </c>
      <c r="AE97" s="31">
        <v>329.0625</v>
      </c>
      <c r="AF97" s="31">
        <v>387.75</v>
      </c>
      <c r="AG97" s="31">
        <v>444.0625</v>
      </c>
      <c r="AH97" s="31">
        <v>498</v>
      </c>
      <c r="AI97" s="31"/>
      <c r="AJ97" s="31"/>
      <c r="AK97" s="31"/>
      <c r="AL97" s="31"/>
      <c r="AM97" s="31"/>
    </row>
    <row r="98" spans="1:39" s="17" customFormat="1" ht="0.95" customHeight="1" x14ac:dyDescent="0.2">
      <c r="A98" s="37">
        <v>12</v>
      </c>
      <c r="B98" s="36">
        <f>(S17+U17)/2</f>
        <v>243.75</v>
      </c>
      <c r="C98" s="36">
        <f>(U17-S17)/2</f>
        <v>18</v>
      </c>
      <c r="D98" s="35">
        <f>B98-T17</f>
        <v>17.75</v>
      </c>
      <c r="E98" s="26"/>
      <c r="F98" s="31">
        <v>21.887868108755534</v>
      </c>
      <c r="G98" s="31">
        <v>43.440810765042507</v>
      </c>
      <c r="H98" s="31">
        <v>64.658564150868528</v>
      </c>
      <c r="I98" s="31">
        <v>85.537718662638028</v>
      </c>
      <c r="J98" s="31">
        <v>106.07126203208712</v>
      </c>
      <c r="K98" s="31">
        <v>126.24870739774855</v>
      </c>
      <c r="L98" s="31">
        <v>165.46489256512587</v>
      </c>
      <c r="M98" s="31">
        <v>203.04158798614023</v>
      </c>
      <c r="N98" s="31">
        <v>238.78028261366006</v>
      </c>
      <c r="O98" s="31">
        <v>272.42381556089236</v>
      </c>
      <c r="P98" s="31">
        <v>303.73503627493443</v>
      </c>
      <c r="Q98" s="31">
        <v>355.51248556191427</v>
      </c>
      <c r="R98" s="31"/>
      <c r="S98" s="31"/>
      <c r="T98" s="31"/>
      <c r="U98" s="31"/>
      <c r="V98" s="31"/>
      <c r="W98" s="31"/>
      <c r="X98" s="31">
        <v>37.4296875</v>
      </c>
      <c r="Y98" s="31">
        <v>74.46875</v>
      </c>
      <c r="Z98" s="31">
        <v>111.1171875</v>
      </c>
      <c r="AA98" s="31">
        <v>147.375</v>
      </c>
      <c r="AB98" s="31">
        <v>183.2421875</v>
      </c>
      <c r="AC98" s="31">
        <v>218.71875</v>
      </c>
      <c r="AD98" s="31">
        <v>288.5</v>
      </c>
      <c r="AE98" s="31">
        <v>360.15625</v>
      </c>
      <c r="AF98" s="31">
        <v>426.125</v>
      </c>
      <c r="AG98" s="31">
        <v>488.65625</v>
      </c>
      <c r="AH98" s="31">
        <v>547.75</v>
      </c>
      <c r="AI98" s="31">
        <v>655.625</v>
      </c>
      <c r="AJ98" s="31"/>
      <c r="AK98" s="31"/>
      <c r="AL98" s="31"/>
      <c r="AM98" s="31"/>
    </row>
    <row r="99" spans="1:39" s="17" customFormat="1" ht="0.95" customHeight="1" x14ac:dyDescent="0.2">
      <c r="A99" s="37">
        <v>13</v>
      </c>
      <c r="B99" s="36">
        <f>(S18+U18)/2</f>
        <v>292.75</v>
      </c>
      <c r="C99" s="36">
        <f>(U18-S18)/2</f>
        <v>21</v>
      </c>
      <c r="D99" s="35">
        <f>B99-T18</f>
        <v>21.75</v>
      </c>
      <c r="E99" s="26"/>
      <c r="F99" s="31">
        <v>23.255033615713753</v>
      </c>
      <c r="G99" s="31">
        <v>46.177706470555918</v>
      </c>
      <c r="H99" s="31">
        <v>68.767299193232617</v>
      </c>
      <c r="I99" s="31">
        <v>91.02129386358888</v>
      </c>
      <c r="J99" s="31">
        <v>112.93470494773227</v>
      </c>
      <c r="K99" s="31">
        <v>134.50006773092895</v>
      </c>
      <c r="L99" s="31">
        <v>176.53619055238227</v>
      </c>
      <c r="M99" s="31">
        <v>217.02712280601659</v>
      </c>
      <c r="N99" s="31">
        <v>255.83609040009793</v>
      </c>
      <c r="O99" s="31">
        <v>292.79668092195493</v>
      </c>
      <c r="P99" s="31">
        <v>327.70309827232728</v>
      </c>
      <c r="Q99" s="31">
        <v>390.28916381812911</v>
      </c>
      <c r="R99" s="31">
        <v>439.21493230757733</v>
      </c>
      <c r="S99" s="31"/>
      <c r="T99" s="31"/>
      <c r="U99" s="31"/>
      <c r="V99" s="31"/>
      <c r="W99" s="31"/>
      <c r="X99" s="31">
        <v>39.6640625</v>
      </c>
      <c r="Y99" s="31">
        <v>79.03125</v>
      </c>
      <c r="Z99" s="31">
        <v>118.1015625</v>
      </c>
      <c r="AA99" s="31">
        <v>156.875</v>
      </c>
      <c r="AB99" s="31">
        <v>195.3515625</v>
      </c>
      <c r="AC99" s="31">
        <v>233.53125</v>
      </c>
      <c r="AD99" s="31">
        <v>309</v>
      </c>
      <c r="AE99" s="31">
        <v>385.15625</v>
      </c>
      <c r="AF99" s="31">
        <v>457.875</v>
      </c>
      <c r="AG99" s="31">
        <v>527.15625</v>
      </c>
      <c r="AH99" s="31">
        <v>593</v>
      </c>
      <c r="AI99" s="31">
        <v>714.375</v>
      </c>
      <c r="AJ99" s="31">
        <v>822</v>
      </c>
      <c r="AK99" s="31"/>
      <c r="AL99" s="31"/>
      <c r="AM99" s="31"/>
    </row>
    <row r="100" spans="1:39" s="17" customFormat="1" ht="0.95" customHeight="1" x14ac:dyDescent="0.2">
      <c r="A100" s="37">
        <v>14</v>
      </c>
      <c r="B100" s="36">
        <f>(S20+U20)/2</f>
        <v>375.125</v>
      </c>
      <c r="C100" s="36">
        <f>(U20-S20)/2</f>
        <v>23.625</v>
      </c>
      <c r="D100" s="35">
        <f>B100-T20</f>
        <v>27.125</v>
      </c>
      <c r="E100" s="26"/>
      <c r="F100" s="31">
        <v>25.334851899989197</v>
      </c>
      <c r="G100" s="31">
        <v>50.341826780251843</v>
      </c>
      <c r="H100" s="31">
        <v>75.019287195202736</v>
      </c>
      <c r="I100" s="31">
        <v>99.365043182133704</v>
      </c>
      <c r="J100" s="31">
        <v>123.37552290719654</v>
      </c>
      <c r="K100" s="31">
        <v>147.04564116568329</v>
      </c>
      <c r="L100" s="31">
        <v>193.33113146951649</v>
      </c>
      <c r="M100" s="31">
        <v>238.15449191963322</v>
      </c>
      <c r="N100" s="31">
        <v>281.42970215688507</v>
      </c>
      <c r="O100" s="31">
        <v>323.05767202716373</v>
      </c>
      <c r="P100" s="31">
        <v>362.93256563108929</v>
      </c>
      <c r="Q100" s="31">
        <v>436.84231953370403</v>
      </c>
      <c r="R100" s="31">
        <v>502.06652379499468</v>
      </c>
      <c r="S100" s="31">
        <v>598.78363406247979</v>
      </c>
      <c r="T100" s="31"/>
      <c r="U100" s="31"/>
      <c r="V100" s="31"/>
      <c r="W100" s="31"/>
      <c r="X100" s="31">
        <v>43.0703125</v>
      </c>
      <c r="Y100" s="31">
        <v>85.90625</v>
      </c>
      <c r="Z100" s="31">
        <v>128.5078125</v>
      </c>
      <c r="AA100" s="31">
        <v>170.875</v>
      </c>
      <c r="AB100" s="31">
        <v>213.0078125</v>
      </c>
      <c r="AC100" s="31">
        <v>254.90625</v>
      </c>
      <c r="AD100" s="31">
        <v>338</v>
      </c>
      <c r="AE100" s="31">
        <v>421.40625</v>
      </c>
      <c r="AF100" s="31">
        <v>502.375</v>
      </c>
      <c r="AG100" s="31">
        <v>580.90625</v>
      </c>
      <c r="AH100" s="31">
        <v>657</v>
      </c>
      <c r="AI100" s="31">
        <v>801.875</v>
      </c>
      <c r="AJ100" s="31">
        <v>937</v>
      </c>
      <c r="AK100" s="31">
        <v>1152</v>
      </c>
      <c r="AL100" s="31"/>
      <c r="AM100" s="31"/>
    </row>
    <row r="101" spans="1:39" s="17" customFormat="1" ht="0.95" customHeight="1" x14ac:dyDescent="0.2">
      <c r="A101" s="35">
        <v>15</v>
      </c>
      <c r="B101" s="36">
        <f>(S23+U23)/2</f>
        <v>482.75</v>
      </c>
      <c r="C101" s="36">
        <f>(U23-S23)/2</f>
        <v>23.75</v>
      </c>
      <c r="D101" s="35">
        <f>B101-T23</f>
        <v>35.25</v>
      </c>
      <c r="E101" s="26"/>
      <c r="F101" s="31">
        <v>27.746072302173499</v>
      </c>
      <c r="G101" s="31">
        <v>55.167966387216566</v>
      </c>
      <c r="H101" s="31">
        <v>82.263158747579411</v>
      </c>
      <c r="I101" s="31">
        <v>109.0292078962465</v>
      </c>
      <c r="J101" s="31">
        <v>135.46295549684399</v>
      </c>
      <c r="K101" s="31">
        <v>161.56032090598541</v>
      </c>
      <c r="L101" s="31">
        <v>212.7203117858088</v>
      </c>
      <c r="M101" s="31">
        <v>262.4600709044991</v>
      </c>
      <c r="N101" s="31">
        <v>310.71939712248655</v>
      </c>
      <c r="O101" s="31">
        <v>357.43211350394643</v>
      </c>
      <c r="P101" s="31">
        <v>402.53212141437143</v>
      </c>
      <c r="Q101" s="31">
        <v>487.56442263016146</v>
      </c>
      <c r="R101" s="31">
        <v>565.32527475586528</v>
      </c>
      <c r="S101" s="31">
        <v>697.44739920244979</v>
      </c>
      <c r="T101" s="31">
        <v>856.95108191143834</v>
      </c>
      <c r="U101" s="31"/>
      <c r="V101" s="31"/>
      <c r="W101" s="31"/>
      <c r="X101" s="31">
        <v>47.6953125</v>
      </c>
      <c r="Y101" s="31">
        <v>95.15625</v>
      </c>
      <c r="Z101" s="31">
        <v>142.3828125</v>
      </c>
      <c r="AA101" s="31">
        <v>189.375</v>
      </c>
      <c r="AB101" s="31">
        <v>236.1328125</v>
      </c>
      <c r="AC101" s="31">
        <v>282.65625</v>
      </c>
      <c r="AD101" s="31">
        <v>375</v>
      </c>
      <c r="AE101" s="31">
        <v>468.09375</v>
      </c>
      <c r="AF101" s="31">
        <v>559.125</v>
      </c>
      <c r="AG101" s="31">
        <v>648.09375</v>
      </c>
      <c r="AH101" s="31">
        <v>735</v>
      </c>
      <c r="AI101" s="31">
        <v>902.625</v>
      </c>
      <c r="AJ101" s="31">
        <v>1062</v>
      </c>
      <c r="AK101" s="31">
        <v>1347</v>
      </c>
      <c r="AL101" s="31">
        <v>1750</v>
      </c>
      <c r="AM101" s="31"/>
    </row>
    <row r="102" spans="1:39" s="17" customFormat="1" ht="0.95" customHeight="1" x14ac:dyDescent="0.2">
      <c r="A102" s="35">
        <v>16</v>
      </c>
      <c r="B102" s="36">
        <f>(S27+U27)/2</f>
        <v>551.5</v>
      </c>
      <c r="C102" s="36">
        <f>(U27-S27)/2</f>
        <v>27.833333333333314</v>
      </c>
      <c r="D102" s="35">
        <f>B102-T27</f>
        <v>38.5</v>
      </c>
      <c r="E102" s="26"/>
      <c r="F102" s="31">
        <v>29.409952803844678</v>
      </c>
      <c r="G102" s="31">
        <v>58.49339671322965</v>
      </c>
      <c r="H102" s="31">
        <v>87.247363630780072</v>
      </c>
      <c r="I102" s="31">
        <v>115.66917898436098</v>
      </c>
      <c r="J102" s="31">
        <v>143.75564029911573</v>
      </c>
      <c r="K102" s="31">
        <v>171.50281646576545</v>
      </c>
      <c r="L102" s="31">
        <v>225.95552824475089</v>
      </c>
      <c r="M102" s="31">
        <v>278.98262587004734</v>
      </c>
      <c r="N102" s="31">
        <v>330.53072931429875</v>
      </c>
      <c r="O102" s="31">
        <v>380.54259705145336</v>
      </c>
      <c r="P102" s="31">
        <v>428.9626878212157</v>
      </c>
      <c r="Q102" s="31">
        <v>520.75979876705435</v>
      </c>
      <c r="R102" s="31">
        <v>605.55063915030814</v>
      </c>
      <c r="S102" s="31">
        <v>753.21982455142893</v>
      </c>
      <c r="T102" s="31">
        <v>961.91953231982257</v>
      </c>
      <c r="U102" s="31">
        <v>1104.4397756595445</v>
      </c>
      <c r="V102" s="31"/>
      <c r="W102" s="31"/>
      <c r="X102" s="31">
        <v>50.9453125</v>
      </c>
      <c r="Y102" s="31">
        <v>101.65625</v>
      </c>
      <c r="Z102" s="31">
        <v>152.1328125</v>
      </c>
      <c r="AA102" s="31">
        <v>202.375</v>
      </c>
      <c r="AB102" s="31">
        <v>252.3828125</v>
      </c>
      <c r="AC102" s="31">
        <v>302.15625</v>
      </c>
      <c r="AD102" s="31">
        <v>401</v>
      </c>
      <c r="AE102" s="31">
        <v>500.21875</v>
      </c>
      <c r="AF102" s="31">
        <v>597.625</v>
      </c>
      <c r="AG102" s="31">
        <v>693.21875</v>
      </c>
      <c r="AH102" s="31">
        <v>787</v>
      </c>
      <c r="AI102" s="31">
        <v>969.125</v>
      </c>
      <c r="AJ102" s="31">
        <v>1144</v>
      </c>
      <c r="AK102" s="31">
        <v>1464</v>
      </c>
      <c r="AL102" s="31">
        <v>1973</v>
      </c>
      <c r="AM102" s="31">
        <v>2506</v>
      </c>
    </row>
    <row r="103" spans="1:39" s="17" customFormat="1" ht="0.95" customHeight="1" x14ac:dyDescent="0.2">
      <c r="E103" s="26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F103" s="31"/>
      <c r="AG103" s="31"/>
      <c r="AH103" s="31"/>
      <c r="AI103" s="31"/>
      <c r="AJ103" s="31"/>
      <c r="AK103" s="31"/>
      <c r="AL103" s="31"/>
      <c r="AM103" s="31"/>
    </row>
    <row r="104" spans="1:39" s="17" customFormat="1" ht="0.95" customHeight="1" x14ac:dyDescent="0.2">
      <c r="E104" s="26"/>
      <c r="F104" s="31">
        <v>19.697415057892059</v>
      </c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>
        <v>39.1328125</v>
      </c>
      <c r="Y104" s="31"/>
      <c r="Z104" s="31"/>
      <c r="AA104" s="31"/>
      <c r="AB104" s="31"/>
      <c r="AC104" s="31"/>
      <c r="AD104" s="31"/>
      <c r="AE104" s="31"/>
      <c r="AF104" s="31"/>
      <c r="AG104" s="31"/>
      <c r="AH104" s="31"/>
      <c r="AI104" s="31"/>
      <c r="AJ104" s="31"/>
      <c r="AK104" s="31"/>
      <c r="AL104" s="31"/>
      <c r="AM104" s="31"/>
    </row>
    <row r="105" spans="1:39" s="17" customFormat="1" ht="0.95" customHeight="1" x14ac:dyDescent="0.2">
      <c r="E105" s="26"/>
      <c r="F105" s="31">
        <v>21.356574917904247</v>
      </c>
      <c r="G105" s="31">
        <v>42.03185593635385</v>
      </c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>
        <v>40.8515625</v>
      </c>
      <c r="Y105" s="31">
        <v>80.40625</v>
      </c>
      <c r="Z105" s="31"/>
      <c r="AA105" s="31"/>
      <c r="AB105" s="31"/>
      <c r="AC105" s="31"/>
      <c r="AD105" s="31"/>
      <c r="AE105" s="31"/>
      <c r="AF105" s="31"/>
      <c r="AG105" s="31"/>
      <c r="AH105" s="31"/>
      <c r="AI105" s="31"/>
      <c r="AJ105" s="31"/>
      <c r="AK105" s="31"/>
      <c r="AL105" s="31"/>
      <c r="AM105" s="31"/>
    </row>
    <row r="106" spans="1:39" s="17" customFormat="1" ht="0.95" customHeight="1" x14ac:dyDescent="0.2">
      <c r="E106" s="26"/>
      <c r="F106" s="31">
        <v>22.89771041660763</v>
      </c>
      <c r="G106" s="31">
        <v>45.226470099715499</v>
      </c>
      <c r="H106" s="31">
        <v>66.59030969889146</v>
      </c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>
        <v>42.5703125</v>
      </c>
      <c r="Y106" s="31">
        <v>83.84375</v>
      </c>
      <c r="Z106" s="31">
        <v>123.8203125</v>
      </c>
      <c r="AA106" s="31"/>
      <c r="AB106" s="31"/>
      <c r="AC106" s="31"/>
      <c r="AD106" s="31"/>
      <c r="AE106" s="31"/>
      <c r="AF106" s="31"/>
      <c r="AG106" s="31"/>
      <c r="AH106" s="31"/>
      <c r="AI106" s="31"/>
      <c r="AJ106" s="31"/>
      <c r="AK106" s="31"/>
      <c r="AL106" s="31"/>
      <c r="AM106" s="31"/>
    </row>
    <row r="107" spans="1:39" s="17" customFormat="1" ht="0.95" customHeight="1" x14ac:dyDescent="0.2">
      <c r="E107" s="26"/>
      <c r="F107" s="31">
        <v>24.357583073818297</v>
      </c>
      <c r="G107" s="31">
        <v>48.161388070968286</v>
      </c>
      <c r="H107" s="31">
        <v>71.211621828087743</v>
      </c>
      <c r="I107" s="31">
        <v>93.09102295899865</v>
      </c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>
        <v>44.2890625</v>
      </c>
      <c r="Y107" s="31">
        <v>87.28125</v>
      </c>
      <c r="Z107" s="31">
        <v>128.9765625</v>
      </c>
      <c r="AA107" s="31">
        <v>169.375</v>
      </c>
      <c r="AB107" s="31"/>
      <c r="AC107" s="31"/>
      <c r="AD107" s="31"/>
      <c r="AE107" s="31"/>
      <c r="AF107" s="31"/>
      <c r="AG107" s="31"/>
      <c r="AH107" s="31"/>
      <c r="AI107" s="31"/>
      <c r="AJ107" s="31"/>
      <c r="AK107" s="31"/>
      <c r="AL107" s="31"/>
      <c r="AM107" s="31"/>
    </row>
    <row r="108" spans="1:39" s="17" customFormat="1" ht="0.95" customHeight="1" x14ac:dyDescent="0.2">
      <c r="E108" s="26"/>
      <c r="F108" s="31">
        <v>25.751154974192083</v>
      </c>
      <c r="G108" s="31">
        <v>50.936343296701089</v>
      </c>
      <c r="H108" s="31">
        <v>75.438721650974628</v>
      </c>
      <c r="I108" s="31">
        <v>99.042776598918252</v>
      </c>
      <c r="J108" s="31">
        <v>121.3070252515347</v>
      </c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/>
      <c r="X108" s="31">
        <v>46.0078125</v>
      </c>
      <c r="Y108" s="31">
        <v>90.71875</v>
      </c>
      <c r="Z108" s="31">
        <v>134.1328125</v>
      </c>
      <c r="AA108" s="31">
        <v>176.25</v>
      </c>
      <c r="AB108" s="31">
        <v>217.0703125</v>
      </c>
      <c r="AC108" s="31"/>
      <c r="AD108" s="31"/>
      <c r="AE108" s="31"/>
      <c r="AF108" s="31"/>
      <c r="AG108" s="31"/>
      <c r="AH108" s="31"/>
      <c r="AI108" s="31"/>
      <c r="AJ108" s="31"/>
      <c r="AK108" s="31"/>
      <c r="AL108" s="31"/>
      <c r="AM108" s="31"/>
    </row>
    <row r="109" spans="1:39" s="17" customFormat="1" ht="0.95" customHeight="1" x14ac:dyDescent="0.2">
      <c r="E109" s="26"/>
      <c r="F109" s="31">
        <v>27.075713040675495</v>
      </c>
      <c r="G109" s="31">
        <v>53.567499087322055</v>
      </c>
      <c r="H109" s="31">
        <v>79.400412301019188</v>
      </c>
      <c r="I109" s="31">
        <v>104.43860616677009</v>
      </c>
      <c r="J109" s="31">
        <v>128.4516210002933</v>
      </c>
      <c r="K109" s="31">
        <v>150.96901915853599</v>
      </c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>
        <v>47.7265625</v>
      </c>
      <c r="Y109" s="31">
        <v>94.15625</v>
      </c>
      <c r="Z109" s="31">
        <v>139.2890625</v>
      </c>
      <c r="AA109" s="31">
        <v>183.125</v>
      </c>
      <c r="AB109" s="31">
        <v>225.6640625</v>
      </c>
      <c r="AC109" s="31">
        <v>266.90625</v>
      </c>
      <c r="AD109" s="31"/>
      <c r="AE109" s="31"/>
      <c r="AF109" s="31"/>
      <c r="AG109" s="31"/>
      <c r="AH109" s="31"/>
      <c r="AI109" s="31"/>
      <c r="AJ109" s="31"/>
      <c r="AK109" s="31"/>
      <c r="AL109" s="31"/>
      <c r="AM109" s="31"/>
    </row>
    <row r="110" spans="1:39" s="17" customFormat="1" ht="0.95" customHeight="1" x14ac:dyDescent="0.2">
      <c r="E110" s="26"/>
      <c r="F110" s="31">
        <v>29.595442794275804</v>
      </c>
      <c r="G110" s="31">
        <v>58.572530215290755</v>
      </c>
      <c r="H110" s="31">
        <v>86.898677570113648</v>
      </c>
      <c r="I110" s="31">
        <v>114.50505454732425</v>
      </c>
      <c r="J110" s="31">
        <v>141.29001783150119</v>
      </c>
      <c r="K110" s="31">
        <v>167.11929282212319</v>
      </c>
      <c r="L110" s="31">
        <v>214.28081340068363</v>
      </c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>
        <v>51.1640625</v>
      </c>
      <c r="Y110" s="31">
        <v>101.03125</v>
      </c>
      <c r="Z110" s="31">
        <v>149.6015625</v>
      </c>
      <c r="AA110" s="31">
        <v>196.875</v>
      </c>
      <c r="AB110" s="31">
        <v>242.8515625</v>
      </c>
      <c r="AC110" s="31">
        <v>287.53125</v>
      </c>
      <c r="AD110" s="31">
        <v>373</v>
      </c>
      <c r="AE110" s="31"/>
      <c r="AF110" s="31"/>
      <c r="AG110" s="31"/>
      <c r="AH110" s="31"/>
      <c r="AI110" s="31"/>
      <c r="AJ110" s="31"/>
      <c r="AK110" s="31"/>
      <c r="AL110" s="31"/>
      <c r="AM110" s="31"/>
    </row>
    <row r="111" spans="1:39" s="17" customFormat="1" ht="0.95" customHeight="1" x14ac:dyDescent="0.2">
      <c r="E111" s="26"/>
      <c r="F111" s="31">
        <v>31.937813902516456</v>
      </c>
      <c r="G111" s="31">
        <v>63.231475101129838</v>
      </c>
      <c r="H111" s="31">
        <v>93.866215132352792</v>
      </c>
      <c r="I111" s="31">
        <v>123.80015503403</v>
      </c>
      <c r="J111" s="31">
        <v>152.96809951614284</v>
      </c>
      <c r="K111" s="31">
        <v>181.28302604299267</v>
      </c>
      <c r="L111" s="31">
        <v>234.79263549903911</v>
      </c>
      <c r="M111" s="31">
        <v>282.22956907775443</v>
      </c>
      <c r="N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>
        <v>54.6015625</v>
      </c>
      <c r="Y111" s="31">
        <v>107.90625</v>
      </c>
      <c r="Z111" s="31">
        <v>159.9140625</v>
      </c>
      <c r="AA111" s="31">
        <v>210.625</v>
      </c>
      <c r="AB111" s="31">
        <v>260.0390625</v>
      </c>
      <c r="AC111" s="31">
        <v>308.15625</v>
      </c>
      <c r="AD111" s="31">
        <v>400.5</v>
      </c>
      <c r="AE111" s="31">
        <v>487.65625</v>
      </c>
      <c r="AF111" s="31"/>
      <c r="AG111" s="31"/>
      <c r="AH111" s="31"/>
      <c r="AI111" s="31"/>
      <c r="AJ111" s="31"/>
      <c r="AK111" s="31"/>
      <c r="AL111" s="31"/>
      <c r="AM111" s="31"/>
    </row>
    <row r="112" spans="1:39" s="17" customFormat="1" ht="0.95" customHeight="1" x14ac:dyDescent="0.2">
      <c r="E112" s="26"/>
      <c r="F112" s="31">
        <v>34.10539560062405</v>
      </c>
      <c r="G112" s="31">
        <v>67.548253616657817</v>
      </c>
      <c r="H112" s="31">
        <v>100.32212078393368</v>
      </c>
      <c r="I112" s="31">
        <v>132.39977082705715</v>
      </c>
      <c r="J112" s="31">
        <v>163.73622421645547</v>
      </c>
      <c r="K112" s="31">
        <v>194.27107324409332</v>
      </c>
      <c r="L112" s="31">
        <v>252.54933700475698</v>
      </c>
      <c r="M112" s="31">
        <v>306.40076719717365</v>
      </c>
      <c r="N112" s="31">
        <v>353.61528543872163</v>
      </c>
      <c r="O112" s="31"/>
      <c r="P112" s="31"/>
      <c r="Q112" s="31"/>
      <c r="R112" s="31"/>
      <c r="S112" s="31"/>
      <c r="T112" s="31"/>
      <c r="U112" s="31"/>
      <c r="V112" s="31"/>
      <c r="W112" s="31"/>
      <c r="X112" s="31">
        <v>58.0390625</v>
      </c>
      <c r="Y112" s="31">
        <v>114.78125</v>
      </c>
      <c r="Z112" s="31">
        <v>170.2265625</v>
      </c>
      <c r="AA112" s="31">
        <v>224.375</v>
      </c>
      <c r="AB112" s="31">
        <v>277.2265625</v>
      </c>
      <c r="AC112" s="31">
        <v>328.78125</v>
      </c>
      <c r="AD112" s="31">
        <v>428</v>
      </c>
      <c r="AE112" s="31">
        <v>522.03125</v>
      </c>
      <c r="AF112" s="31">
        <v>610.875</v>
      </c>
      <c r="AG112" s="31"/>
      <c r="AH112" s="31"/>
      <c r="AI112" s="31"/>
      <c r="AJ112" s="31"/>
      <c r="AK112" s="31"/>
      <c r="AL112" s="31"/>
      <c r="AM112" s="31"/>
    </row>
    <row r="113" spans="5:39" s="17" customFormat="1" ht="0.95" customHeight="1" x14ac:dyDescent="0.2">
      <c r="E113" s="26"/>
      <c r="F113" s="31">
        <v>36.108466941484046</v>
      </c>
      <c r="G113" s="31">
        <v>71.540524877001701</v>
      </c>
      <c r="H113" s="31">
        <v>106.2935692392942</v>
      </c>
      <c r="I113" s="31">
        <v>140.348810988455</v>
      </c>
      <c r="J113" s="31">
        <v>173.67333185431139</v>
      </c>
      <c r="K113" s="31">
        <v>206.22211508884462</v>
      </c>
      <c r="L113" s="31">
        <v>268.70725474843596</v>
      </c>
      <c r="M113" s="31">
        <v>327.21355978535678</v>
      </c>
      <c r="N113" s="31">
        <v>380.87069974105333</v>
      </c>
      <c r="O113" s="31">
        <v>427.43728195296416</v>
      </c>
      <c r="P113" s="31"/>
      <c r="Q113" s="31"/>
      <c r="R113" s="31"/>
      <c r="S113" s="31"/>
      <c r="T113" s="31"/>
      <c r="U113" s="31"/>
      <c r="V113" s="31"/>
      <c r="W113" s="31"/>
      <c r="X113" s="31">
        <v>61.4765625</v>
      </c>
      <c r="Y113" s="31">
        <v>121.65625</v>
      </c>
      <c r="Z113" s="31">
        <v>180.5390625</v>
      </c>
      <c r="AA113" s="31">
        <v>238.125</v>
      </c>
      <c r="AB113" s="31">
        <v>294.4140625</v>
      </c>
      <c r="AC113" s="31">
        <v>349.40625</v>
      </c>
      <c r="AD113" s="31">
        <v>455.5</v>
      </c>
      <c r="AE113" s="31">
        <v>556.40625</v>
      </c>
      <c r="AF113" s="31">
        <v>652.125</v>
      </c>
      <c r="AG113" s="31">
        <v>742.65625</v>
      </c>
      <c r="AH113" s="31"/>
      <c r="AI113" s="31"/>
      <c r="AJ113" s="31"/>
      <c r="AK113" s="31"/>
      <c r="AL113" s="31"/>
      <c r="AM113" s="31"/>
    </row>
    <row r="114" spans="5:39" s="17" customFormat="1" ht="0.95" customHeight="1" x14ac:dyDescent="0.2">
      <c r="E114" s="26"/>
      <c r="F114" s="31">
        <v>37.929263972178703</v>
      </c>
      <c r="G114" s="31">
        <v>75.171387732258182</v>
      </c>
      <c r="H114" s="31">
        <v>111.7254640979655</v>
      </c>
      <c r="I114" s="31">
        <v>147.57767379335385</v>
      </c>
      <c r="J114" s="31">
        <v>182.70254394051742</v>
      </c>
      <c r="K114" s="31">
        <v>217.06476843536757</v>
      </c>
      <c r="L114" s="31">
        <v>283.27664856070152</v>
      </c>
      <c r="M114" s="31">
        <v>345.76111960961373</v>
      </c>
      <c r="N114" s="31">
        <v>403.89017516122988</v>
      </c>
      <c r="O114" s="31">
        <v>456.79412861280713</v>
      </c>
      <c r="P114" s="31">
        <v>502.18137670244113</v>
      </c>
      <c r="Q114" s="31"/>
      <c r="R114" s="31"/>
      <c r="S114" s="31"/>
      <c r="T114" s="31"/>
      <c r="U114" s="31"/>
      <c r="V114" s="31"/>
      <c r="W114" s="31"/>
      <c r="X114" s="31">
        <v>64.9140625</v>
      </c>
      <c r="Y114" s="31">
        <v>128.53125</v>
      </c>
      <c r="Z114" s="31">
        <v>190.8515625</v>
      </c>
      <c r="AA114" s="31">
        <v>251.875</v>
      </c>
      <c r="AB114" s="31">
        <v>311.6015625</v>
      </c>
      <c r="AC114" s="31">
        <v>370.03125</v>
      </c>
      <c r="AD114" s="31">
        <v>483</v>
      </c>
      <c r="AE114" s="31">
        <v>590.78125</v>
      </c>
      <c r="AF114" s="31">
        <v>693.375</v>
      </c>
      <c r="AG114" s="31">
        <v>790.78125</v>
      </c>
      <c r="AH114" s="31">
        <v>883</v>
      </c>
      <c r="AI114" s="31"/>
      <c r="AJ114" s="31"/>
      <c r="AK114" s="31"/>
      <c r="AL114" s="31"/>
      <c r="AM114" s="31"/>
    </row>
    <row r="115" spans="5:39" s="17" customFormat="1" ht="0.95" customHeight="1" x14ac:dyDescent="0.2">
      <c r="E115" s="26"/>
      <c r="F115" s="31">
        <v>41.226205036673669</v>
      </c>
      <c r="G115" s="31">
        <v>81.74814453442589</v>
      </c>
      <c r="H115" s="31">
        <v>121.56584338063159</v>
      </c>
      <c r="I115" s="31">
        <v>160.67072951293233</v>
      </c>
      <c r="J115" s="31">
        <v>199.04605054693832</v>
      </c>
      <c r="K115" s="31">
        <v>236.66786032407748</v>
      </c>
      <c r="L115" s="31">
        <v>309.49835734800513</v>
      </c>
      <c r="M115" s="31">
        <v>378.86238885720184</v>
      </c>
      <c r="N115" s="31">
        <v>444.37222065019279</v>
      </c>
      <c r="O115" s="31">
        <v>505.5526594139356</v>
      </c>
      <c r="P115" s="31">
        <v>561.99614494241519</v>
      </c>
      <c r="Q115" s="31">
        <v>654.0985117086226</v>
      </c>
      <c r="R115" s="31"/>
      <c r="S115" s="31"/>
      <c r="T115" s="31"/>
      <c r="U115" s="31"/>
      <c r="V115" s="31"/>
      <c r="W115" s="31"/>
      <c r="X115" s="31">
        <v>68.1875</v>
      </c>
      <c r="Y115" s="31">
        <v>135.5</v>
      </c>
      <c r="Z115" s="31">
        <v>201.9375</v>
      </c>
      <c r="AA115" s="31">
        <v>267.5</v>
      </c>
      <c r="AB115" s="31">
        <v>332.1875</v>
      </c>
      <c r="AC115" s="31">
        <v>396</v>
      </c>
      <c r="AD115" s="31">
        <v>521</v>
      </c>
      <c r="AE115" s="31">
        <v>649.09375</v>
      </c>
      <c r="AF115" s="31">
        <v>765.625</v>
      </c>
      <c r="AG115" s="31">
        <v>874.84375</v>
      </c>
      <c r="AH115" s="31">
        <v>976.75</v>
      </c>
      <c r="AI115" s="31">
        <v>1158.625</v>
      </c>
      <c r="AJ115" s="31"/>
      <c r="AK115" s="31"/>
      <c r="AL115" s="31"/>
      <c r="AM115" s="31"/>
    </row>
    <row r="116" spans="5:39" s="17" customFormat="1" ht="0.95" customHeight="1" x14ac:dyDescent="0.2">
      <c r="E116" s="26"/>
      <c r="F116" s="31">
        <v>44.072503670903821</v>
      </c>
      <c r="G116" s="31">
        <v>87.426914968436463</v>
      </c>
      <c r="H116" s="31">
        <v>130.06287067503538</v>
      </c>
      <c r="I116" s="31">
        <v>171.97387967683915</v>
      </c>
      <c r="J116" s="31">
        <v>213.14721381115038</v>
      </c>
      <c r="K116" s="31">
        <v>253.56461883712174</v>
      </c>
      <c r="L116" s="31">
        <v>332.0154632867542</v>
      </c>
      <c r="M116" s="31">
        <v>407.10149364509891</v>
      </c>
      <c r="N116" s="31">
        <v>478.54188260055901</v>
      </c>
      <c r="O116" s="31">
        <v>546.01617749005595</v>
      </c>
      <c r="P116" s="31">
        <v>609.15395200930402</v>
      </c>
      <c r="Q116" s="31">
        <v>720.65700454158264</v>
      </c>
      <c r="R116" s="31">
        <v>805.84066492891282</v>
      </c>
      <c r="S116" s="31"/>
      <c r="T116" s="31"/>
      <c r="U116" s="31"/>
      <c r="V116" s="31"/>
      <c r="W116" s="31"/>
      <c r="X116" s="31">
        <v>72.71875</v>
      </c>
      <c r="Y116" s="31">
        <v>144.625</v>
      </c>
      <c r="Z116" s="31">
        <v>215.71875</v>
      </c>
      <c r="AA116" s="31">
        <v>286</v>
      </c>
      <c r="AB116" s="31">
        <v>355.46875</v>
      </c>
      <c r="AC116" s="31">
        <v>424.125</v>
      </c>
      <c r="AD116" s="31">
        <v>559</v>
      </c>
      <c r="AE116" s="31">
        <v>695.71875</v>
      </c>
      <c r="AF116" s="31">
        <v>825.125</v>
      </c>
      <c r="AG116" s="31">
        <v>947.21875</v>
      </c>
      <c r="AH116" s="31">
        <v>1062</v>
      </c>
      <c r="AI116" s="31">
        <v>1269.625</v>
      </c>
      <c r="AJ116" s="31">
        <v>1448</v>
      </c>
      <c r="AK116" s="31"/>
      <c r="AL116" s="31"/>
      <c r="AM116" s="31"/>
    </row>
    <row r="117" spans="5:39" s="17" customFormat="1" ht="0.95" customHeight="1" x14ac:dyDescent="0.2">
      <c r="E117" s="26"/>
      <c r="F117" s="31">
        <v>48.511797281200948</v>
      </c>
      <c r="G117" s="31">
        <v>96.286271247115494</v>
      </c>
      <c r="H117" s="31">
        <v>143.32187034710094</v>
      </c>
      <c r="I117" s="31">
        <v>189.61322808357045</v>
      </c>
      <c r="J117" s="31">
        <v>235.15064554763305</v>
      </c>
      <c r="K117" s="31">
        <v>279.92061104462005</v>
      </c>
      <c r="L117" s="31">
        <v>367.07325093073064</v>
      </c>
      <c r="M117" s="31">
        <v>450.91071184699308</v>
      </c>
      <c r="N117" s="31">
        <v>531.24154352958919</v>
      </c>
      <c r="O117" s="31">
        <v>607.8612411151106</v>
      </c>
      <c r="P117" s="31">
        <v>680.56983392750089</v>
      </c>
      <c r="Q117" s="31">
        <v>813.25468468232532</v>
      </c>
      <c r="R117" s="31">
        <v>927.60210265380204</v>
      </c>
      <c r="S117" s="31">
        <v>1090.5528682742802</v>
      </c>
      <c r="T117" s="31"/>
      <c r="U117" s="31"/>
      <c r="V117" s="31"/>
      <c r="W117" s="31"/>
      <c r="X117" s="31">
        <v>79.640625</v>
      </c>
      <c r="Y117" s="31">
        <v>158.5625</v>
      </c>
      <c r="Z117" s="31">
        <v>236.765625</v>
      </c>
      <c r="AA117" s="31">
        <v>314.25</v>
      </c>
      <c r="AB117" s="31">
        <v>391.015625</v>
      </c>
      <c r="AC117" s="31">
        <v>467.0625</v>
      </c>
      <c r="AD117" s="31">
        <v>617</v>
      </c>
      <c r="AE117" s="31">
        <v>766.40625</v>
      </c>
      <c r="AF117" s="31">
        <v>910.375</v>
      </c>
      <c r="AG117" s="31">
        <v>1048.90625</v>
      </c>
      <c r="AH117" s="31">
        <v>1182</v>
      </c>
      <c r="AI117" s="31">
        <v>1431.875</v>
      </c>
      <c r="AJ117" s="31">
        <v>1660</v>
      </c>
      <c r="AK117" s="31">
        <v>2008</v>
      </c>
      <c r="AL117" s="31"/>
      <c r="AM117" s="31"/>
    </row>
    <row r="118" spans="5:39" s="17" customFormat="1" ht="0.95" customHeight="1" x14ac:dyDescent="0.2">
      <c r="E118" s="26"/>
      <c r="F118" s="31">
        <v>53.759921920230369</v>
      </c>
      <c r="G118" s="31">
        <v>106.76067049610855</v>
      </c>
      <c r="H118" s="31">
        <v>158.99942090948792</v>
      </c>
      <c r="I118" s="31">
        <v>210.47075715657576</v>
      </c>
      <c r="J118" s="31">
        <v>261.16608549686828</v>
      </c>
      <c r="K118" s="31">
        <v>311.07405409911331</v>
      </c>
      <c r="L118" s="31">
        <v>408.45873180590439</v>
      </c>
      <c r="M118" s="31">
        <v>502.49773254978857</v>
      </c>
      <c r="N118" s="31">
        <v>593.04579759673481</v>
      </c>
      <c r="O118" s="31">
        <v>679.95551954720759</v>
      </c>
      <c r="P118" s="31">
        <v>763.09422778097348</v>
      </c>
      <c r="Q118" s="31">
        <v>917.47357962957415</v>
      </c>
      <c r="R118" s="31">
        <v>1055.4691443991867</v>
      </c>
      <c r="S118" s="31">
        <v>1281.2495339054174</v>
      </c>
      <c r="T118" s="31">
        <v>1531.9646518698146</v>
      </c>
      <c r="U118" s="31"/>
      <c r="V118" s="31"/>
      <c r="W118" s="31"/>
      <c r="X118" s="31">
        <v>88.1015625</v>
      </c>
      <c r="Y118" s="31">
        <v>175.53125</v>
      </c>
      <c r="Z118" s="31">
        <v>262.2890625</v>
      </c>
      <c r="AA118" s="31">
        <v>348.375</v>
      </c>
      <c r="AB118" s="31">
        <v>433.7890625</v>
      </c>
      <c r="AC118" s="31">
        <v>518.53125</v>
      </c>
      <c r="AD118" s="31">
        <v>686</v>
      </c>
      <c r="AE118" s="31">
        <v>853.3125</v>
      </c>
      <c r="AF118" s="31">
        <v>1015.75</v>
      </c>
      <c r="AG118" s="31">
        <v>1173.3125</v>
      </c>
      <c r="AH118" s="31">
        <v>1326</v>
      </c>
      <c r="AI118" s="31">
        <v>1616.75</v>
      </c>
      <c r="AJ118" s="31">
        <v>1888</v>
      </c>
      <c r="AK118" s="31">
        <v>2355</v>
      </c>
      <c r="AL118" s="31">
        <v>2972</v>
      </c>
      <c r="AM118" s="31"/>
    </row>
    <row r="119" spans="5:39" s="17" customFormat="1" ht="0.95" customHeight="1" x14ac:dyDescent="0.2">
      <c r="E119" s="26"/>
      <c r="F119" s="31">
        <v>57.33243787983708</v>
      </c>
      <c r="G119" s="31">
        <v>113.88726193482201</v>
      </c>
      <c r="H119" s="31">
        <v>169.66102701647048</v>
      </c>
      <c r="I119" s="31">
        <v>224.64802126875159</v>
      </c>
      <c r="J119" s="31">
        <v>278.83973501156208</v>
      </c>
      <c r="K119" s="31">
        <v>332.22520528841454</v>
      </c>
      <c r="L119" s="31">
        <v>436.51180269794372</v>
      </c>
      <c r="M119" s="31">
        <v>537.38907427860408</v>
      </c>
      <c r="N119" s="31">
        <v>634.72412070079304</v>
      </c>
      <c r="O119" s="31">
        <v>728.38480571211483</v>
      </c>
      <c r="P119" s="31">
        <v>818.25631535045591</v>
      </c>
      <c r="Q119" s="31">
        <v>986.14883071681299</v>
      </c>
      <c r="R119" s="31">
        <v>1137.8788070498358</v>
      </c>
      <c r="S119" s="31">
        <v>1392.8620780204351</v>
      </c>
      <c r="T119" s="31">
        <v>1726.9652781104237</v>
      </c>
      <c r="U119" s="31">
        <v>1919.6768371158505</v>
      </c>
      <c r="V119" s="31"/>
      <c r="W119" s="31"/>
      <c r="X119" s="31">
        <v>94.1015625</v>
      </c>
      <c r="Y119" s="31">
        <v>187.53125</v>
      </c>
      <c r="Z119" s="31">
        <v>280.2890625</v>
      </c>
      <c r="AA119" s="31">
        <v>372.375</v>
      </c>
      <c r="AB119" s="31">
        <v>463.7890625</v>
      </c>
      <c r="AC119" s="31">
        <v>554.53125</v>
      </c>
      <c r="AD119" s="31">
        <v>734</v>
      </c>
      <c r="AE119" s="31">
        <v>913.6875</v>
      </c>
      <c r="AF119" s="31">
        <v>1088.75</v>
      </c>
      <c r="AG119" s="31">
        <v>1259.1875</v>
      </c>
      <c r="AH119" s="31">
        <v>1425</v>
      </c>
      <c r="AI119" s="31">
        <v>1742.75</v>
      </c>
      <c r="AJ119" s="31">
        <v>2042</v>
      </c>
      <c r="AK119" s="31">
        <v>2571</v>
      </c>
      <c r="AL119" s="31">
        <v>3365</v>
      </c>
      <c r="AM119" s="31">
        <v>4126</v>
      </c>
    </row>
    <row r="120" spans="5:39" s="17" customFormat="1" ht="0.95" customHeight="1" x14ac:dyDescent="0.2">
      <c r="E120" s="26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F120" s="31"/>
      <c r="AG120" s="31"/>
      <c r="AH120" s="31"/>
      <c r="AI120" s="31"/>
      <c r="AJ120" s="31"/>
      <c r="AK120" s="31"/>
      <c r="AL120" s="31"/>
      <c r="AM120" s="31"/>
    </row>
    <row r="121" spans="5:39" s="17" customFormat="1" ht="0.95" customHeight="1" x14ac:dyDescent="0.2">
      <c r="E121" s="26"/>
      <c r="F121" s="31">
        <v>35.046301666779371</v>
      </c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>
        <v>58.65625</v>
      </c>
      <c r="Y121" s="31"/>
      <c r="Z121" s="31"/>
      <c r="AA121" s="31"/>
      <c r="AB121" s="31"/>
      <c r="AC121" s="31"/>
      <c r="AD121" s="31"/>
      <c r="AE121" s="31"/>
      <c r="AF121" s="31"/>
      <c r="AG121" s="31"/>
      <c r="AH121" s="31"/>
      <c r="AI121" s="31"/>
      <c r="AJ121" s="31"/>
      <c r="AK121" s="31"/>
      <c r="AL121" s="31"/>
      <c r="AM121" s="31"/>
    </row>
    <row r="122" spans="5:39" s="17" customFormat="1" ht="0.95" customHeight="1" x14ac:dyDescent="0.2">
      <c r="E122" s="26"/>
      <c r="F122" s="31">
        <v>37.939187041532676</v>
      </c>
      <c r="G122" s="31">
        <v>74.609454245481189</v>
      </c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1"/>
      <c r="V122" s="31"/>
      <c r="W122" s="31"/>
      <c r="X122" s="31">
        <v>61.734375</v>
      </c>
      <c r="Y122" s="31">
        <v>121.125</v>
      </c>
      <c r="Z122" s="31"/>
      <c r="AA122" s="31"/>
      <c r="AB122" s="31"/>
      <c r="AC122" s="31"/>
      <c r="AD122" s="31"/>
      <c r="AE122" s="31"/>
      <c r="AF122" s="31"/>
      <c r="AG122" s="31"/>
      <c r="AH122" s="31"/>
      <c r="AI122" s="31"/>
      <c r="AJ122" s="31"/>
      <c r="AK122" s="31"/>
      <c r="AL122" s="31"/>
      <c r="AM122" s="31"/>
    </row>
    <row r="123" spans="5:39" s="17" customFormat="1" ht="0.95" customHeight="1" x14ac:dyDescent="0.2">
      <c r="E123" s="26"/>
      <c r="F123" s="31">
        <v>40.662382229002887</v>
      </c>
      <c r="G123" s="31">
        <v>80.247621153537565</v>
      </c>
      <c r="H123" s="31">
        <v>118.00638767986767</v>
      </c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  <c r="T123" s="31"/>
      <c r="U123" s="31"/>
      <c r="V123" s="31"/>
      <c r="W123" s="31"/>
      <c r="X123" s="31">
        <v>64.8125</v>
      </c>
      <c r="Y123" s="31">
        <v>127.28125</v>
      </c>
      <c r="Z123" s="31">
        <v>187.40625</v>
      </c>
      <c r="AA123" s="31"/>
      <c r="AB123" s="31"/>
      <c r="AC123" s="31"/>
      <c r="AD123" s="31"/>
      <c r="AE123" s="31"/>
      <c r="AF123" s="31"/>
      <c r="AG123" s="31"/>
      <c r="AH123" s="31"/>
      <c r="AI123" s="31"/>
      <c r="AJ123" s="31"/>
      <c r="AK123" s="31"/>
      <c r="AL123" s="31"/>
      <c r="AM123" s="31"/>
    </row>
    <row r="124" spans="5:39" s="17" customFormat="1" ht="0.95" customHeight="1" x14ac:dyDescent="0.2">
      <c r="E124" s="26"/>
      <c r="F124" s="31">
        <v>43.274579314842157</v>
      </c>
      <c r="G124" s="31">
        <v>85.484704309337502</v>
      </c>
      <c r="H124" s="31">
        <v>126.24243666547127</v>
      </c>
      <c r="I124" s="31">
        <v>164.75665733954349</v>
      </c>
      <c r="J124" s="31"/>
      <c r="K124" s="31"/>
      <c r="L124" s="31"/>
      <c r="M124" s="31"/>
      <c r="N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>
        <v>67.890625</v>
      </c>
      <c r="Y124" s="31">
        <v>133.4375</v>
      </c>
      <c r="Z124" s="31">
        <v>196.640625</v>
      </c>
      <c r="AA124" s="31">
        <v>257.5</v>
      </c>
      <c r="AB124" s="31"/>
      <c r="AC124" s="31"/>
      <c r="AD124" s="31"/>
      <c r="AE124" s="31"/>
      <c r="AF124" s="31"/>
      <c r="AG124" s="31"/>
      <c r="AH124" s="31"/>
      <c r="AI124" s="31"/>
      <c r="AJ124" s="31"/>
      <c r="AK124" s="31"/>
      <c r="AL124" s="31"/>
      <c r="AM124" s="31"/>
    </row>
    <row r="125" spans="5:39" s="17" customFormat="1" ht="0.95" customHeight="1" x14ac:dyDescent="0.2">
      <c r="E125" s="26"/>
      <c r="F125" s="31">
        <v>45.79684997461915</v>
      </c>
      <c r="G125" s="31">
        <v>90.490332350643811</v>
      </c>
      <c r="H125" s="31">
        <v>133.84642578700181</v>
      </c>
      <c r="I125" s="31">
        <v>175.448014795891</v>
      </c>
      <c r="J125" s="31">
        <v>214.45851181318176</v>
      </c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>
        <v>70.96875</v>
      </c>
      <c r="Y125" s="31">
        <v>139.59375</v>
      </c>
      <c r="Z125" s="31">
        <v>205.875</v>
      </c>
      <c r="AA125" s="31">
        <v>269.8125</v>
      </c>
      <c r="AB125" s="31">
        <v>331.40625</v>
      </c>
      <c r="AC125" s="31"/>
      <c r="AD125" s="31"/>
      <c r="AE125" s="31"/>
      <c r="AF125" s="31"/>
      <c r="AG125" s="31"/>
      <c r="AH125" s="31"/>
      <c r="AI125" s="31"/>
      <c r="AJ125" s="31"/>
      <c r="AK125" s="31"/>
      <c r="AL125" s="31"/>
      <c r="AM125" s="31"/>
    </row>
    <row r="126" spans="5:39" s="17" customFormat="1" ht="0.95" customHeight="1" x14ac:dyDescent="0.2">
      <c r="E126" s="26"/>
      <c r="F126" s="31">
        <v>48.217314512900842</v>
      </c>
      <c r="G126" s="31">
        <v>95.281151250227239</v>
      </c>
      <c r="H126" s="31">
        <v>141.0360459968297</v>
      </c>
      <c r="I126" s="31">
        <v>185.21240503751235</v>
      </c>
      <c r="J126" s="31">
        <v>227.36693607782689</v>
      </c>
      <c r="K126" s="31">
        <v>266.61090487313254</v>
      </c>
      <c r="L126" s="31"/>
      <c r="M126" s="31"/>
      <c r="N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>
        <v>74.046875</v>
      </c>
      <c r="Y126" s="31">
        <v>145.75</v>
      </c>
      <c r="Z126" s="31">
        <v>215.109375</v>
      </c>
      <c r="AA126" s="31">
        <v>282.125</v>
      </c>
      <c r="AB126" s="31">
        <v>346.796875</v>
      </c>
      <c r="AC126" s="31">
        <v>409.125</v>
      </c>
      <c r="AD126" s="31"/>
      <c r="AE126" s="31"/>
      <c r="AF126" s="31"/>
      <c r="AG126" s="31"/>
      <c r="AH126" s="31"/>
      <c r="AI126" s="31"/>
      <c r="AJ126" s="31"/>
      <c r="AK126" s="31"/>
      <c r="AL126" s="31"/>
      <c r="AM126" s="31"/>
    </row>
    <row r="127" spans="5:39" s="17" customFormat="1" ht="0.95" customHeight="1" x14ac:dyDescent="0.2">
      <c r="E127" s="26"/>
      <c r="F127" s="31">
        <v>52.884487796349923</v>
      </c>
      <c r="G127" s="31">
        <v>104.517441969785</v>
      </c>
      <c r="H127" s="31">
        <v>154.8244808146909</v>
      </c>
      <c r="I127" s="31">
        <v>203.66038538647658</v>
      </c>
      <c r="J127" s="31">
        <v>250.81980464048596</v>
      </c>
      <c r="K127" s="31">
        <v>296.04146209163287</v>
      </c>
      <c r="L127" s="31">
        <v>377.60247900051905</v>
      </c>
      <c r="M127" s="31"/>
      <c r="N127" s="31"/>
      <c r="O127" s="31"/>
      <c r="P127" s="31"/>
      <c r="Q127" s="31"/>
      <c r="R127" s="31"/>
      <c r="S127" s="31"/>
      <c r="T127" s="31"/>
      <c r="U127" s="31"/>
      <c r="V127" s="31"/>
      <c r="W127" s="31"/>
      <c r="X127" s="31">
        <v>80.203125</v>
      </c>
      <c r="Y127" s="31">
        <v>158.0625</v>
      </c>
      <c r="Z127" s="31">
        <v>233.578125</v>
      </c>
      <c r="AA127" s="31">
        <v>306.75</v>
      </c>
      <c r="AB127" s="31">
        <v>377.578125</v>
      </c>
      <c r="AC127" s="31">
        <v>446.0625</v>
      </c>
      <c r="AD127" s="31">
        <v>576</v>
      </c>
      <c r="AE127" s="31"/>
      <c r="AF127" s="31"/>
      <c r="AG127" s="31"/>
      <c r="AH127" s="31"/>
      <c r="AI127" s="31"/>
      <c r="AJ127" s="31"/>
      <c r="AK127" s="31"/>
      <c r="AL127" s="31"/>
      <c r="AM127" s="31"/>
    </row>
    <row r="128" spans="5:39" s="17" customFormat="1" ht="0.95" customHeight="1" x14ac:dyDescent="0.2">
      <c r="E128" s="26"/>
      <c r="F128" s="31">
        <v>57.281911104573929</v>
      </c>
      <c r="G128" s="31">
        <v>113.23214217413516</v>
      </c>
      <c r="H128" s="31">
        <v>167.81178709506503</v>
      </c>
      <c r="I128" s="31">
        <v>220.92640373323567</v>
      </c>
      <c r="J128" s="31">
        <v>272.43734634120807</v>
      </c>
      <c r="K128" s="31">
        <v>322.16779803044574</v>
      </c>
      <c r="L128" s="31">
        <v>415.20670866441441</v>
      </c>
      <c r="M128" s="31">
        <v>496.13755841398779</v>
      </c>
      <c r="N128" s="31"/>
      <c r="O128" s="31"/>
      <c r="P128" s="31"/>
      <c r="Q128" s="31"/>
      <c r="R128" s="31"/>
      <c r="S128" s="31"/>
      <c r="T128" s="31"/>
      <c r="U128" s="31"/>
      <c r="V128" s="31"/>
      <c r="W128" s="31"/>
      <c r="X128" s="31">
        <v>86.359375</v>
      </c>
      <c r="Y128" s="31">
        <v>170.375</v>
      </c>
      <c r="Z128" s="31">
        <v>252.046875</v>
      </c>
      <c r="AA128" s="31">
        <v>331.375</v>
      </c>
      <c r="AB128" s="31">
        <v>408.359375</v>
      </c>
      <c r="AC128" s="31">
        <v>483</v>
      </c>
      <c r="AD128" s="31">
        <v>625.25</v>
      </c>
      <c r="AE128" s="31">
        <v>758.125</v>
      </c>
      <c r="AF128" s="31"/>
      <c r="AG128" s="31"/>
      <c r="AH128" s="31"/>
      <c r="AI128" s="31"/>
      <c r="AJ128" s="31"/>
      <c r="AK128" s="31"/>
      <c r="AL128" s="31"/>
      <c r="AM128" s="31"/>
    </row>
    <row r="129" spans="5:39" s="17" customFormat="1" ht="0.95" customHeight="1" x14ac:dyDescent="0.2">
      <c r="E129" s="26"/>
      <c r="F129" s="31">
        <v>61.386299798446707</v>
      </c>
      <c r="G129" s="31">
        <v>121.37748358216757</v>
      </c>
      <c r="H129" s="31">
        <v>179.95199666176251</v>
      </c>
      <c r="I129" s="31">
        <v>237.04363007440844</v>
      </c>
      <c r="J129" s="31">
        <v>292.55122215603029</v>
      </c>
      <c r="K129" s="31">
        <v>346.34617802177394</v>
      </c>
      <c r="L129" s="31">
        <v>448.0242727025622</v>
      </c>
      <c r="M129" s="31">
        <v>540.50678131148334</v>
      </c>
      <c r="N129" s="31">
        <v>619.79231657273886</v>
      </c>
      <c r="O129" s="31"/>
      <c r="P129" s="31"/>
      <c r="Q129" s="31"/>
      <c r="R129" s="31"/>
      <c r="S129" s="31"/>
      <c r="T129" s="31"/>
      <c r="U129" s="31"/>
      <c r="V129" s="31"/>
      <c r="W129" s="31"/>
      <c r="X129" s="31">
        <v>92.515625</v>
      </c>
      <c r="Y129" s="31">
        <v>182.6875</v>
      </c>
      <c r="Z129" s="31">
        <v>270.515625</v>
      </c>
      <c r="AA129" s="31">
        <v>356</v>
      </c>
      <c r="AB129" s="31">
        <v>439.140625</v>
      </c>
      <c r="AC129" s="31">
        <v>519.9375</v>
      </c>
      <c r="AD129" s="31">
        <v>674.5</v>
      </c>
      <c r="AE129" s="31">
        <v>819.6875</v>
      </c>
      <c r="AF129" s="31">
        <v>955.5</v>
      </c>
      <c r="AG129" s="31"/>
      <c r="AH129" s="31"/>
      <c r="AI129" s="31"/>
      <c r="AJ129" s="31"/>
      <c r="AK129" s="31"/>
      <c r="AL129" s="31"/>
      <c r="AM129" s="31"/>
    </row>
    <row r="130" spans="5:39" s="17" customFormat="1" ht="0.95" customHeight="1" x14ac:dyDescent="0.2">
      <c r="E130" s="26"/>
      <c r="F130" s="31">
        <v>65.195366073599857</v>
      </c>
      <c r="G130" s="31">
        <v>128.94371668309125</v>
      </c>
      <c r="H130" s="31">
        <v>191.23207427896185</v>
      </c>
      <c r="I130" s="31">
        <v>252.0108210968327</v>
      </c>
      <c r="J130" s="31">
        <v>311.20138565224539</v>
      </c>
      <c r="K130" s="31">
        <v>368.70331322644142</v>
      </c>
      <c r="L130" s="31">
        <v>478.04686103447568</v>
      </c>
      <c r="M130" s="31">
        <v>578.89159877664758</v>
      </c>
      <c r="N130" s="31">
        <v>669.68544426228004</v>
      </c>
      <c r="O130" s="31">
        <v>746.49981041919523</v>
      </c>
      <c r="P130" s="31"/>
      <c r="Q130" s="31"/>
      <c r="R130" s="31"/>
      <c r="S130" s="31"/>
      <c r="T130" s="31"/>
      <c r="U130" s="31"/>
      <c r="V130" s="31"/>
      <c r="W130" s="31"/>
      <c r="X130" s="31">
        <v>98.671875</v>
      </c>
      <c r="Y130" s="31">
        <v>195</v>
      </c>
      <c r="Z130" s="31">
        <v>288.984375</v>
      </c>
      <c r="AA130" s="31">
        <v>380.625</v>
      </c>
      <c r="AB130" s="31">
        <v>469.921875</v>
      </c>
      <c r="AC130" s="31">
        <v>556.875</v>
      </c>
      <c r="AD130" s="31">
        <v>723.75</v>
      </c>
      <c r="AE130" s="31">
        <v>881.25</v>
      </c>
      <c r="AF130" s="31">
        <v>1029.375</v>
      </c>
      <c r="AG130" s="31">
        <v>1168.125</v>
      </c>
      <c r="AH130" s="31"/>
      <c r="AI130" s="31"/>
      <c r="AJ130" s="31"/>
      <c r="AK130" s="31"/>
      <c r="AL130" s="31"/>
      <c r="AM130" s="31"/>
    </row>
    <row r="131" spans="5:39" s="17" customFormat="1" ht="0.95" customHeight="1" x14ac:dyDescent="0.2">
      <c r="E131" s="26"/>
      <c r="F131" s="31">
        <v>68.656416001315932</v>
      </c>
      <c r="G131" s="31">
        <v>135.8230164751007</v>
      </c>
      <c r="H131" s="31">
        <v>201.49100835652982</v>
      </c>
      <c r="I131" s="31">
        <v>265.62068584411003</v>
      </c>
      <c r="J131" s="31">
        <v>328.14772890227317</v>
      </c>
      <c r="K131" s="31">
        <v>388.9892633552081</v>
      </c>
      <c r="L131" s="31">
        <v>505.12940777401542</v>
      </c>
      <c r="M131" s="31">
        <v>613.13186503194981</v>
      </c>
      <c r="N131" s="31">
        <v>711.85453363914883</v>
      </c>
      <c r="O131" s="31">
        <v>799.84769003912379</v>
      </c>
      <c r="P131" s="31">
        <v>873.24452074811302</v>
      </c>
      <c r="Q131" s="31"/>
      <c r="R131" s="31"/>
      <c r="S131" s="31"/>
      <c r="T131" s="31"/>
      <c r="U131" s="31"/>
      <c r="V131" s="31"/>
      <c r="W131" s="31"/>
      <c r="X131" s="31">
        <v>104.828125</v>
      </c>
      <c r="Y131" s="31">
        <v>207.3125</v>
      </c>
      <c r="Z131" s="31">
        <v>307.453125</v>
      </c>
      <c r="AA131" s="31">
        <v>405.25</v>
      </c>
      <c r="AB131" s="31">
        <v>500.703125</v>
      </c>
      <c r="AC131" s="31">
        <v>593.8125</v>
      </c>
      <c r="AD131" s="31">
        <v>773</v>
      </c>
      <c r="AE131" s="31">
        <v>942.8125</v>
      </c>
      <c r="AF131" s="31">
        <v>1103.25</v>
      </c>
      <c r="AG131" s="31">
        <v>1254.3125</v>
      </c>
      <c r="AH131" s="31">
        <v>1396</v>
      </c>
      <c r="AI131" s="31"/>
      <c r="AJ131" s="31"/>
      <c r="AK131" s="31"/>
      <c r="AL131" s="31"/>
      <c r="AM131" s="31"/>
    </row>
    <row r="132" spans="5:39" s="17" customFormat="1" ht="0.95" customHeight="1" x14ac:dyDescent="0.2">
      <c r="E132" s="26"/>
      <c r="F132" s="31">
        <v>74.908094387383358</v>
      </c>
      <c r="G132" s="31">
        <v>148.25604949671691</v>
      </c>
      <c r="H132" s="31">
        <v>220.0381666067475</v>
      </c>
      <c r="I132" s="31">
        <v>290.22552735506099</v>
      </c>
      <c r="J132" s="31">
        <v>358.77025893400156</v>
      </c>
      <c r="K132" s="31">
        <v>425.61063745357103</v>
      </c>
      <c r="L132" s="31">
        <v>553.81953465343918</v>
      </c>
      <c r="M132" s="31">
        <v>674.20711026058609</v>
      </c>
      <c r="N132" s="31">
        <v>786.03640023582682</v>
      </c>
      <c r="O132" s="31">
        <v>888.50542640139986</v>
      </c>
      <c r="P132" s="31">
        <v>981.04563489068653</v>
      </c>
      <c r="Q132" s="31">
        <v>1126.2792988357187</v>
      </c>
      <c r="R132" s="31"/>
      <c r="S132" s="31"/>
      <c r="T132" s="31"/>
      <c r="U132" s="31"/>
      <c r="V132" s="31"/>
      <c r="W132" s="31"/>
      <c r="X132" s="31">
        <v>112.1640625</v>
      </c>
      <c r="Y132" s="31">
        <v>222.40625</v>
      </c>
      <c r="Z132" s="31">
        <v>330.7265625</v>
      </c>
      <c r="AA132" s="31">
        <v>437.125</v>
      </c>
      <c r="AB132" s="31">
        <v>541.6015625</v>
      </c>
      <c r="AC132" s="31">
        <v>644.15625</v>
      </c>
      <c r="AD132" s="31">
        <v>843.5</v>
      </c>
      <c r="AE132" s="31">
        <v>1046.5625</v>
      </c>
      <c r="AF132" s="31">
        <v>1229.75</v>
      </c>
      <c r="AG132" s="31">
        <v>1400.0625</v>
      </c>
      <c r="AH132" s="31">
        <v>1557.5</v>
      </c>
      <c r="AI132" s="31">
        <v>1833.75</v>
      </c>
      <c r="AJ132" s="31"/>
      <c r="AK132" s="31"/>
      <c r="AL132" s="31"/>
      <c r="AM132" s="31"/>
    </row>
    <row r="133" spans="5:39" s="17" customFormat="1" ht="0.95" customHeight="1" x14ac:dyDescent="0.2">
      <c r="E133" s="26"/>
      <c r="F133" s="31">
        <v>80.24264723960043</v>
      </c>
      <c r="G133" s="31">
        <v>158.86997929886331</v>
      </c>
      <c r="H133" s="31">
        <v>235.87639730448487</v>
      </c>
      <c r="I133" s="31">
        <v>311.23742216438325</v>
      </c>
      <c r="J133" s="31">
        <v>384.91304611297039</v>
      </c>
      <c r="K133" s="31">
        <v>456.85193415716924</v>
      </c>
      <c r="L133" s="31">
        <v>595.22537274614172</v>
      </c>
      <c r="M133" s="31">
        <v>725.84216399171476</v>
      </c>
      <c r="N133" s="31">
        <v>848.14532110978587</v>
      </c>
      <c r="O133" s="31">
        <v>961.58833853129022</v>
      </c>
      <c r="P133" s="31">
        <v>1065.632443532128</v>
      </c>
      <c r="Q133" s="31">
        <v>1243.4629706868836</v>
      </c>
      <c r="R133" s="31">
        <v>1371.9545677381357</v>
      </c>
      <c r="S133" s="31"/>
      <c r="T133" s="31"/>
      <c r="U133" s="31"/>
      <c r="V133" s="31"/>
      <c r="W133" s="31"/>
      <c r="X133" s="31">
        <v>119.5546875</v>
      </c>
      <c r="Y133" s="31">
        <v>237.59375</v>
      </c>
      <c r="Z133" s="31">
        <v>354.1171875</v>
      </c>
      <c r="AA133" s="31">
        <v>469.125</v>
      </c>
      <c r="AB133" s="31">
        <v>582.6171875</v>
      </c>
      <c r="AC133" s="31">
        <v>694.59375</v>
      </c>
      <c r="AD133" s="31">
        <v>914</v>
      </c>
      <c r="AE133" s="31">
        <v>1131.0625</v>
      </c>
      <c r="AF133" s="31">
        <v>1335.25</v>
      </c>
      <c r="AG133" s="31">
        <v>1526.5625</v>
      </c>
      <c r="AH133" s="31">
        <v>1705</v>
      </c>
      <c r="AI133" s="31">
        <v>2023.25</v>
      </c>
      <c r="AJ133" s="31">
        <v>2290</v>
      </c>
      <c r="AK133" s="31"/>
      <c r="AL133" s="31"/>
      <c r="AM133" s="31"/>
    </row>
    <row r="134" spans="5:39" s="17" customFormat="1" ht="0.95" customHeight="1" x14ac:dyDescent="0.2">
      <c r="E134" s="26"/>
      <c r="F134" s="31">
        <v>88.34066152151803</v>
      </c>
      <c r="G134" s="31">
        <v>174.99182253304389</v>
      </c>
      <c r="H134" s="31">
        <v>259.94662724199327</v>
      </c>
      <c r="I134" s="31">
        <v>343.18328662365093</v>
      </c>
      <c r="J134" s="31">
        <v>424.66768926613116</v>
      </c>
      <c r="K134" s="31">
        <v>504.35707854717134</v>
      </c>
      <c r="L134" s="31">
        <v>658.1113508701003</v>
      </c>
      <c r="M134" s="31">
        <v>804.03992735365796</v>
      </c>
      <c r="N134" s="31">
        <v>941.73304163209821</v>
      </c>
      <c r="O134" s="31">
        <v>1070.8308510840923</v>
      </c>
      <c r="P134" s="31">
        <v>1191.0672902831395</v>
      </c>
      <c r="Q134" s="31">
        <v>1403.9988779670882</v>
      </c>
      <c r="R134" s="31">
        <v>1579.4715071902256</v>
      </c>
      <c r="S134" s="31">
        <v>1811.6195099615693</v>
      </c>
      <c r="T134" s="31"/>
      <c r="U134" s="31"/>
      <c r="V134" s="31"/>
      <c r="W134" s="31"/>
      <c r="X134" s="31">
        <v>130.8515625</v>
      </c>
      <c r="Y134" s="31">
        <v>260.28125</v>
      </c>
      <c r="Z134" s="31">
        <v>388.2890625</v>
      </c>
      <c r="AA134" s="31">
        <v>514.875</v>
      </c>
      <c r="AB134" s="31">
        <v>640.0390625</v>
      </c>
      <c r="AC134" s="31">
        <v>763.78125</v>
      </c>
      <c r="AD134" s="31">
        <v>1007</v>
      </c>
      <c r="AE134" s="31">
        <v>1253.4375</v>
      </c>
      <c r="AF134" s="31">
        <v>1487.25</v>
      </c>
      <c r="AG134" s="31">
        <v>1708.4375</v>
      </c>
      <c r="AH134" s="31">
        <v>1917</v>
      </c>
      <c r="AI134" s="31">
        <v>2296.25</v>
      </c>
      <c r="AJ134" s="31">
        <v>2625</v>
      </c>
      <c r="AK134" s="31">
        <v>3107</v>
      </c>
      <c r="AL134" s="31"/>
      <c r="AM134" s="31"/>
    </row>
    <row r="135" spans="5:39" s="17" customFormat="1" ht="0.95" customHeight="1" x14ac:dyDescent="0.2">
      <c r="F135" s="31">
        <v>97.375705566499249</v>
      </c>
      <c r="G135" s="31">
        <v>192.98992992788683</v>
      </c>
      <c r="H135" s="31">
        <v>286.83423062945974</v>
      </c>
      <c r="I135" s="31">
        <v>378.88721930617123</v>
      </c>
      <c r="J135" s="31">
        <v>469.11706800779615</v>
      </c>
      <c r="K135" s="31">
        <v>557.48480457291419</v>
      </c>
      <c r="L135" s="31">
        <v>728.42069008511965</v>
      </c>
      <c r="M135" s="31">
        <v>891.34268604537465</v>
      </c>
      <c r="N135" s="31">
        <v>1045.9130151529416</v>
      </c>
      <c r="O135" s="31">
        <v>1191.8587383688496</v>
      </c>
      <c r="P135" s="31">
        <v>1329.0138549611559</v>
      </c>
      <c r="Q135" s="31">
        <v>1576.5985661056684</v>
      </c>
      <c r="R135" s="31">
        <v>1789.023365308557</v>
      </c>
      <c r="S135" s="31">
        <v>2115.5536096202736</v>
      </c>
      <c r="T135" s="31">
        <v>2435.5796086755286</v>
      </c>
      <c r="U135" s="31"/>
      <c r="V135" s="31"/>
      <c r="W135" s="31"/>
      <c r="X135" s="31">
        <v>144.296875</v>
      </c>
      <c r="Y135" s="31">
        <v>287.1875</v>
      </c>
      <c r="Z135" s="31">
        <v>428.671875</v>
      </c>
      <c r="AA135" s="31">
        <v>568.75</v>
      </c>
      <c r="AB135" s="31">
        <v>707.421875</v>
      </c>
      <c r="AC135" s="31">
        <v>844.6875</v>
      </c>
      <c r="AD135" s="31">
        <v>1115</v>
      </c>
      <c r="AE135" s="31">
        <v>1388.34375</v>
      </c>
      <c r="AF135" s="31">
        <v>1650.125</v>
      </c>
      <c r="AG135" s="31">
        <v>1900.34375</v>
      </c>
      <c r="AH135" s="31">
        <v>2139</v>
      </c>
      <c r="AI135" s="31">
        <v>2581.625</v>
      </c>
      <c r="AJ135" s="31">
        <v>2978</v>
      </c>
      <c r="AK135" s="31">
        <v>3633</v>
      </c>
      <c r="AL135" s="31">
        <v>4425</v>
      </c>
      <c r="AM135" s="31"/>
    </row>
    <row r="136" spans="5:39" s="17" customFormat="1" ht="0.95" customHeight="1" x14ac:dyDescent="0.2">
      <c r="F136" s="31">
        <v>103.05049982878337</v>
      </c>
      <c r="G136" s="31">
        <v>204.29647275580174</v>
      </c>
      <c r="H136" s="31">
        <v>303.72872119050646</v>
      </c>
      <c r="I136" s="31">
        <v>401.32558687684752</v>
      </c>
      <c r="J136" s="31">
        <v>497.0554736009459</v>
      </c>
      <c r="K136" s="31">
        <v>590.88014884160157</v>
      </c>
      <c r="L136" s="31">
        <v>772.60609189797935</v>
      </c>
      <c r="M136" s="31">
        <v>946.16356047546469</v>
      </c>
      <c r="N136" s="31">
        <v>1111.2326365967022</v>
      </c>
      <c r="O136" s="31">
        <v>1267.5618986395198</v>
      </c>
      <c r="P136" s="31">
        <v>1415.0098716043951</v>
      </c>
      <c r="Q136" s="31">
        <v>1683.0459377303273</v>
      </c>
      <c r="R136" s="31">
        <v>1915.9519173076865</v>
      </c>
      <c r="S136" s="31">
        <v>2284.9128995213473</v>
      </c>
      <c r="T136" s="31">
        <v>2718.2454175127341</v>
      </c>
      <c r="U136" s="31">
        <v>2916.9075584903776</v>
      </c>
      <c r="V136" s="31"/>
      <c r="W136" s="31"/>
      <c r="X136" s="31">
        <v>153.421875</v>
      </c>
      <c r="Y136" s="31">
        <v>305.4375</v>
      </c>
      <c r="Z136" s="31">
        <v>456.046875</v>
      </c>
      <c r="AA136" s="31">
        <v>605.25</v>
      </c>
      <c r="AB136" s="31">
        <v>753.046875</v>
      </c>
      <c r="AC136" s="31">
        <v>899.4375</v>
      </c>
      <c r="AD136" s="31">
        <v>1188</v>
      </c>
      <c r="AE136" s="31">
        <v>1479.28125</v>
      </c>
      <c r="AF136" s="31">
        <v>1759.375</v>
      </c>
      <c r="AG136" s="31">
        <v>2028.28125</v>
      </c>
      <c r="AH136" s="31">
        <v>2286</v>
      </c>
      <c r="AI136" s="31">
        <v>2767.875</v>
      </c>
      <c r="AJ136" s="31">
        <v>3205</v>
      </c>
      <c r="AK136" s="31">
        <v>3946</v>
      </c>
      <c r="AL136" s="31">
        <v>4975</v>
      </c>
      <c r="AM136" s="31">
        <v>5868</v>
      </c>
    </row>
    <row r="137" spans="5:39" s="17" customFormat="1" ht="0.95" customHeight="1" x14ac:dyDescent="0.2">
      <c r="F137" s="26"/>
      <c r="G137" s="26"/>
      <c r="H137" s="26"/>
      <c r="I137" s="26"/>
      <c r="J137" s="26"/>
      <c r="K137" s="26"/>
      <c r="L137" s="34"/>
      <c r="M137" s="34"/>
      <c r="N137" s="34"/>
      <c r="O137" s="34"/>
      <c r="P137" s="34"/>
      <c r="Q137" s="34"/>
      <c r="R137" s="34"/>
      <c r="S137" s="34"/>
      <c r="T137" s="34"/>
      <c r="U137" s="34"/>
      <c r="V137" s="26"/>
      <c r="W137" s="26"/>
      <c r="X137" s="26"/>
      <c r="Y137" s="26"/>
      <c r="Z137" s="26"/>
      <c r="AA137" s="26"/>
      <c r="AB137" s="26"/>
      <c r="AC137" s="26"/>
      <c r="AD137" s="34"/>
      <c r="AE137" s="34"/>
      <c r="AF137" s="34"/>
      <c r="AG137" s="34"/>
      <c r="AH137" s="34"/>
      <c r="AI137" s="34"/>
      <c r="AJ137" s="34"/>
      <c r="AK137" s="34"/>
      <c r="AL137" s="34"/>
      <c r="AM137" s="34"/>
    </row>
    <row r="138" spans="5:39" s="17" customFormat="1" ht="0.95" customHeight="1" x14ac:dyDescent="0.2">
      <c r="F138" s="31">
        <f>10*F87-15*F104+6*F121+$F$86*(-45*F87+80*F104-35*F121)+$F$86*$F$86*(50*F87-100*F104+50*F121)</f>
        <v>14.928090712708425</v>
      </c>
      <c r="G138" s="31"/>
      <c r="H138" s="31"/>
      <c r="I138" s="31"/>
      <c r="J138" s="31"/>
      <c r="K138" s="31"/>
      <c r="L138" s="33"/>
      <c r="M138" s="33"/>
      <c r="N138" s="33"/>
      <c r="O138" s="33"/>
      <c r="P138" s="33"/>
      <c r="Q138" s="33"/>
      <c r="R138" s="33"/>
      <c r="S138" s="33"/>
      <c r="T138" s="33"/>
      <c r="U138" s="33"/>
      <c r="V138" s="29"/>
      <c r="W138" s="29"/>
      <c r="X138" s="31">
        <f>10*X87-15*X104+6*X121+$F$86*(-45*X87+80*X104-35*X121)+$F$86*$F$86*(50*X87-100*X104+50*X121)</f>
        <v>31.403831375240667</v>
      </c>
      <c r="Y138" s="31"/>
      <c r="Z138" s="31"/>
      <c r="AA138" s="31"/>
      <c r="AB138" s="31"/>
      <c r="AC138" s="24"/>
      <c r="AD138" s="32"/>
      <c r="AE138" s="32"/>
      <c r="AF138" s="32"/>
      <c r="AG138" s="32"/>
      <c r="AH138" s="32"/>
      <c r="AI138" s="32"/>
      <c r="AJ138" s="32"/>
      <c r="AK138" s="32"/>
      <c r="AL138" s="32"/>
      <c r="AM138" s="32"/>
    </row>
    <row r="139" spans="5:39" s="17" customFormat="1" ht="0.95" customHeight="1" x14ac:dyDescent="0.2">
      <c r="F139" s="31">
        <f>10*F88-15*F105+6*F122+$F$86*(-45*F88+80*F105-35*F122)+$F$86*$F$86*(50*F88-100*F105+50*F122)</f>
        <v>16.228164824384173</v>
      </c>
      <c r="G139" s="31">
        <f>10*G88-15*G105+6*G122+$F$86*(-45*G88+80*G105-35*G122)+$F$86*$F$86*(50*G88-100*G105+50*G122)</f>
        <v>31.934989165572119</v>
      </c>
      <c r="H139" s="31"/>
      <c r="I139" s="31"/>
      <c r="J139" s="31"/>
      <c r="K139" s="31"/>
      <c r="L139" s="32"/>
      <c r="M139" s="32"/>
      <c r="N139" s="32"/>
      <c r="O139" s="32"/>
      <c r="P139" s="32"/>
      <c r="Q139" s="32"/>
      <c r="R139" s="32"/>
      <c r="S139" s="32"/>
      <c r="T139" s="32"/>
      <c r="U139" s="32"/>
      <c r="V139" s="29"/>
      <c r="W139" s="29"/>
      <c r="X139" s="31">
        <f>10*X88-15*X105+6*X122+$F$86*(-45*X88+80*X105-35*X122)+$F$86*$F$86*(50*X88-100*X105+50*X122)</f>
        <v>32.711370551464412</v>
      </c>
      <c r="Y139" s="31">
        <f>10*Y88-15*Y105+6*Y122+$F$86*(-45*Y88+80*Y105-35*Y122)+$F$86*$F$86*(50*Y88-100*Y105+50*Y122)</f>
        <v>64.470006162314633</v>
      </c>
      <c r="Z139" s="31"/>
      <c r="AA139" s="31"/>
      <c r="AB139" s="31"/>
      <c r="AC139" s="24"/>
      <c r="AD139" s="32"/>
      <c r="AE139" s="32"/>
      <c r="AF139" s="32"/>
      <c r="AG139" s="32"/>
      <c r="AH139" s="32"/>
      <c r="AI139" s="32"/>
      <c r="AJ139" s="32"/>
      <c r="AK139" s="32"/>
      <c r="AL139" s="32"/>
      <c r="AM139" s="32"/>
    </row>
    <row r="140" spans="5:39" s="17" customFormat="1" ht="0.95" customHeight="1" x14ac:dyDescent="0.2">
      <c r="F140" s="31">
        <f>10*F89-15*F106+6*F123+$F$86*(-45*F89+80*F106-35*F123)+$F$86*$F$86*(50*F89-100*F106+50*F123)</f>
        <v>17.427429966365274</v>
      </c>
      <c r="G140" s="31">
        <f>10*G89-15*G106+6*G123+$F$86*(-45*G89+80*G106-35*G123)+$F$86*$F$86*(50*G89-100*G106+50*G123)</f>
        <v>34.423029302209201</v>
      </c>
      <c r="H140" s="31">
        <f>10*H89-15*H106+6*H123+$F$86*(-45*H89+80*H106-35*H123)+$F$86*$F$86*(50*H89-100*H106+50*H123)</f>
        <v>50.686102690312907</v>
      </c>
      <c r="I140" s="31"/>
      <c r="J140" s="31"/>
      <c r="K140" s="31"/>
      <c r="L140" s="32"/>
      <c r="M140" s="32"/>
      <c r="N140" s="32"/>
      <c r="O140" s="32"/>
      <c r="P140" s="32"/>
      <c r="Q140" s="32"/>
      <c r="R140" s="32"/>
      <c r="S140" s="32"/>
      <c r="T140" s="32"/>
      <c r="U140" s="32"/>
      <c r="V140" s="29"/>
      <c r="W140" s="29"/>
      <c r="X140" s="31">
        <f>10*X89-15*X106+6*X123+$F$86*(-45*X89+80*X106-35*X123)+$F$86*$F$86*(50*X89-100*X106+50*X123)</f>
        <v>34.018909727688161</v>
      </c>
      <c r="Y140" s="31">
        <f>10*Y89-15*Y106+6*Y123+$F$86*(-45*Y89+80*Y106-35*Y123)+$F$86*$F$86*(50*Y89-100*Y106+50*Y123)</f>
        <v>67.085084514762144</v>
      </c>
      <c r="Z140" s="31">
        <f>10*Z89-15*Z106+6*Z123+$F$86*(-45*Z89+80*Z106-35*Z123)+$F$86*$F$86*(50*Z89-100*Z106+50*Z123)</f>
        <v>99.198524361221942</v>
      </c>
      <c r="AA140" s="31"/>
      <c r="AB140" s="31"/>
      <c r="AC140" s="24"/>
      <c r="AD140" s="32"/>
      <c r="AE140" s="32"/>
      <c r="AF140" s="32"/>
      <c r="AG140" s="32"/>
      <c r="AH140" s="32"/>
      <c r="AI140" s="32"/>
      <c r="AJ140" s="32"/>
      <c r="AK140" s="32"/>
      <c r="AL140" s="32"/>
      <c r="AM140" s="32"/>
    </row>
    <row r="141" spans="5:39" s="17" customFormat="1" ht="0.95" customHeight="1" x14ac:dyDescent="0.2">
      <c r="F141" s="31">
        <f>10*F90-15*F107+6*F124+$F$86*(-45*F90+80*F107-35*F124)+$F$86*$F$86*(50*F90-100*F107+50*F124)</f>
        <v>18.555798965018887</v>
      </c>
      <c r="G141" s="31">
        <f>10*G90-15*G107+6*G124+$F$86*(-45*G90+80*G107-35*G124)+$F$86*$F$86*(50*G90-100*G107+50*G124)</f>
        <v>36.694607270267937</v>
      </c>
      <c r="H141" s="31">
        <f>10*H90-15*H107+6*H124+$F$86*(-45*H90+80*H107-35*H124)+$F$86*$F$86*(50*H90-100*H107+50*H124)</f>
        <v>54.266508842498808</v>
      </c>
      <c r="I141" s="31">
        <f>10*I90-15*I107+6*I124+$F$86*(-45*I90+80*I107-35*I124)+$F$86*$F$86*(50*I90-100*I107+50*I124)</f>
        <v>70.955220474029574</v>
      </c>
      <c r="J141" s="31"/>
      <c r="K141" s="31"/>
      <c r="L141" s="32"/>
      <c r="M141" s="32"/>
      <c r="N141" s="32"/>
      <c r="O141" s="32"/>
      <c r="P141" s="32"/>
      <c r="Q141" s="32"/>
      <c r="R141" s="32"/>
      <c r="S141" s="32"/>
      <c r="T141" s="32"/>
      <c r="U141" s="32"/>
      <c r="V141" s="29"/>
      <c r="W141" s="29"/>
      <c r="X141" s="31">
        <f>10*X90-15*X107+6*X124+$F$86*(-45*X90+80*X107-35*X124)+$F$86*$F$86*(50*X90-100*X107+50*X124)</f>
        <v>35.32644890391191</v>
      </c>
      <c r="Y141" s="31">
        <f>10*Y90-15*Y107+6*Y124+$F$86*(-45*Y90+80*Y107-35*Y124)+$F$86*$F$86*(50*Y90-100*Y107+50*Y124)</f>
        <v>69.700162867209627</v>
      </c>
      <c r="Z141" s="31">
        <f>10*Z90-15*Z107+6*Z124+$F$86*(-45*Z90+80*Z107-35*Z124)+$F$86*$F$86*(50*Z90-100*Z107+50*Z124)</f>
        <v>103.12114188989318</v>
      </c>
      <c r="AA141" s="31">
        <f>10*AA90-15*AA107+6*AA124+$F$86*(-45*AA90+80*AA107-35*AA124)+$F$86*$F$86*(50*AA90-100*AA107+50*AA124)</f>
        <v>135.58938597196254</v>
      </c>
      <c r="AB141" s="31"/>
      <c r="AC141" s="24"/>
      <c r="AD141" s="32"/>
      <c r="AE141" s="32"/>
      <c r="AF141" s="32"/>
      <c r="AG141" s="32"/>
      <c r="AH141" s="32"/>
      <c r="AI141" s="32"/>
      <c r="AJ141" s="32"/>
      <c r="AK141" s="32"/>
      <c r="AL141" s="32"/>
      <c r="AM141" s="32"/>
    </row>
    <row r="142" spans="5:39" s="17" customFormat="1" ht="0.95" customHeight="1" x14ac:dyDescent="0.2">
      <c r="F142" s="31">
        <f>10*F91-15*F108+6*F125+$F$86*(-45*F91+80*F108-35*F125)+$F$86*$F$86*(50*F91-100*F108+50*F125)</f>
        <v>19.626011036526357</v>
      </c>
      <c r="G142" s="31">
        <f>10*G91-15*G108+6*G125+$F$86*(-45*G91+80*G108-35*G125)+$F$86*$F$86*(50*G91-100*G108+50*G125)</f>
        <v>38.829083277265255</v>
      </c>
      <c r="H142" s="31">
        <f>10*H91-15*H108+6*H125+$F$86*(-45*H91+80*H108-35*H125)+$F$86*$F$86*(50*H91-100*H108+50*H125)</f>
        <v>57.522822541370999</v>
      </c>
      <c r="I142" s="31">
        <f>10*I91-15*I108+6*I125+$F$86*(-45*I91+80*I108-35*I125)+$F$86*$F$86*(50*I91-100*I108+50*I125)</f>
        <v>75.545473243189122</v>
      </c>
      <c r="J142" s="31">
        <f>10*J91-15*J108+6*J125+$F$86*(-45*J91+80*J108-35*J125)+$F$86*$F$86*(50*J91-100*J108+50*J125)</f>
        <v>92.562655278916196</v>
      </c>
      <c r="K142" s="31"/>
      <c r="L142" s="32"/>
      <c r="M142" s="32"/>
      <c r="N142" s="32"/>
      <c r="O142" s="32"/>
      <c r="P142" s="32"/>
      <c r="Q142" s="32"/>
      <c r="R142" s="32"/>
      <c r="S142" s="32"/>
      <c r="T142" s="32"/>
      <c r="U142" s="32"/>
      <c r="V142" s="29"/>
      <c r="W142" s="29"/>
      <c r="X142" s="31">
        <f>10*X91-15*X108+6*X125+$F$86*(-45*X91+80*X108-35*X125)+$F$86*$F$86*(50*X91-100*X108+50*X125)</f>
        <v>36.633988080135659</v>
      </c>
      <c r="Y142" s="31">
        <f>10*Y91-15*Y108+6*Y125+$F$86*(-45*Y91+80*Y108-35*Y125)+$F$86*$F$86*(50*Y91-100*Y108+50*Y125)</f>
        <v>72.315241219657139</v>
      </c>
      <c r="Z142" s="31">
        <f>10*Z91-15*Z108+6*Z125+$F$86*(-45*Z91+80*Z108-35*Z125)+$F$86*$F$86*(50*Z91-100*Z108+50*Z125)</f>
        <v>107.04375941856443</v>
      </c>
      <c r="AA142" s="31">
        <f>10*AA91-15*AA108+6*AA125+$F$86*(-45*AA91+80*AA108-35*AA125)+$F$86*$F$86*(50*AA91-100*AA108+50*AA125)</f>
        <v>140.81954267685754</v>
      </c>
      <c r="AB142" s="31">
        <f>10*AB91-15*AB108+6*AB125+$F$86*(-45*AB91+80*AB108-35*AB125)+$F$86*$F$86*(50*AB91-100*AB108+50*AB125)</f>
        <v>173.64259099453648</v>
      </c>
      <c r="AC142" s="24"/>
      <c r="AD142" s="32"/>
      <c r="AE142" s="32"/>
      <c r="AF142" s="32"/>
      <c r="AG142" s="32"/>
      <c r="AH142" s="32"/>
      <c r="AI142" s="32"/>
      <c r="AJ142" s="32"/>
      <c r="AK142" s="32"/>
      <c r="AL142" s="32"/>
      <c r="AM142" s="32"/>
    </row>
    <row r="143" spans="5:39" s="17" customFormat="1" ht="0.95" customHeight="1" x14ac:dyDescent="0.2">
      <c r="F143" s="31">
        <f>10*F92-15*F109+6*F126+$F$86*(-45*F92+80*F109-35*F126)+$F$86*$F$86*(50*F92-100*F109+50*F126)</f>
        <v>20.637345291098228</v>
      </c>
      <c r="G143" s="31">
        <f>10*G92-15*G109+6*G126+$F$86*(-45*G92+80*G109-35*G126)+$F$86*$F$86*(50*G92-100*G109+50*G126)</f>
        <v>40.841484716478817</v>
      </c>
      <c r="H143" s="31">
        <f>10*H92-15*H109+6*H126+$F$86*(-45*H92+80*H109-35*H126)+$F$86*$F$86*(50*H92-100*H109+50*H126)</f>
        <v>60.557939088983034</v>
      </c>
      <c r="I143" s="31">
        <f>10*I92-15*I109+6*I126+$F$86*(-45*I92+80*I109-35*I126)+$F$86*$F$86*(50*I92-100*I109+50*I126)</f>
        <v>79.685981826506946</v>
      </c>
      <c r="J143" s="31">
        <f>10*J92-15*J109+6*J126+$F$86*(-45*J92+80*J109-35*J126)+$F$86*$F$86*(50*J92-100*J109+50*J126)</f>
        <v>98.052350604389147</v>
      </c>
      <c r="K143" s="31">
        <f>10*K92-15*K109+6*K126+$F$86*(-45*K92+80*K109-35*K126)+$F$86*$F$86*(50*K92-100*K109+50*K126)</f>
        <v>115.30063297098582</v>
      </c>
      <c r="L143" s="32"/>
      <c r="M143" s="32"/>
      <c r="N143" s="32"/>
      <c r="O143" s="32"/>
      <c r="P143" s="32"/>
      <c r="Q143" s="32"/>
      <c r="R143" s="32"/>
      <c r="S143" s="32"/>
      <c r="T143" s="32"/>
      <c r="U143" s="32"/>
      <c r="V143" s="29"/>
      <c r="W143" s="29"/>
      <c r="X143" s="31">
        <f>10*X92-15*X109+6*X126+$F$86*(-45*X92+80*X109-35*X126)+$F$86*$F$86*(50*X92-100*X109+50*X126)</f>
        <v>37.941527256359407</v>
      </c>
      <c r="Y143" s="31">
        <f>10*Y92-15*Y109+6*Y126+$F$86*(-45*Y92+80*Y109-35*Y126)+$F$86*$F$86*(50*Y92-100*Y109+50*Y126)</f>
        <v>74.930319572104636</v>
      </c>
      <c r="Z143" s="31">
        <f>10*Z92-15*Z109+6*Z126+$F$86*(-45*Z92+80*Z109-35*Z126)+$F$86*$F$86*(50*Z92-100*Z109+50*Z126)</f>
        <v>110.96637694723566</v>
      </c>
      <c r="AA143" s="31">
        <f>10*AA92-15*AA109+6*AA126+$F$86*(-45*AA92+80*AA109-35*AA126)+$F$86*$F$86*(50*AA92-100*AA109+50*AA126)</f>
        <v>146.04969938175253</v>
      </c>
      <c r="AB143" s="31">
        <f>10*AB92-15*AB109+6*AB126+$F$86*(-45*AB92+80*AB109-35*AB126)+$F$86*$F$86*(50*AB92-100*AB109+50*AB126)</f>
        <v>180.18028687565521</v>
      </c>
      <c r="AC143" s="31">
        <f>10*AC92-15*AC109+6*AC126+$F$86*(-45*AC92+80*AC109-35*AC126)+$F$86*$F$86*(50*AC92-100*AC109+50*AC126)</f>
        <v>213.3581394289437</v>
      </c>
      <c r="AD143" s="32"/>
      <c r="AE143" s="32"/>
      <c r="AF143" s="32"/>
      <c r="AG143" s="32"/>
      <c r="AH143" s="32"/>
      <c r="AI143" s="32"/>
      <c r="AJ143" s="32"/>
      <c r="AK143" s="32"/>
      <c r="AL143" s="32"/>
      <c r="AM143" s="32"/>
    </row>
    <row r="144" spans="5:39" s="17" customFormat="1" ht="0.95" customHeight="1" x14ac:dyDescent="0.2">
      <c r="F144" s="31">
        <f>10*F93-15*F110+6*F127+$F$86*(-45*F93+80*F110-35*F127)+$F$86*$F$86*(50*F93-100*F110+50*F127)</f>
        <v>22.545203190644862</v>
      </c>
      <c r="G144" s="31">
        <f>10*G93-15*G110+6*G127+$F$86*(-45*G93+80*G110-35*G127)+$F$86*$F$86*(50*G93-100*G110+50*G127)</f>
        <v>44.637953505723786</v>
      </c>
      <c r="H144" s="31">
        <f>10*H93-15*H110+6*H127+$F$86*(-45*H93+80*H110-35*H127)+$F$86*$F$86*(50*H93-100*H110+50*H127)</f>
        <v>66.255683431309535</v>
      </c>
      <c r="I144" s="31">
        <f>10*I93-15*I110+6*I127+$F$86*(-45*I93+80*I110-35*I127)+$F$86*$F$86*(50*I93-100*I110+50*I127)</f>
        <v>87.34891521714647</v>
      </c>
      <c r="J144" s="31">
        <f>10*J93-15*J110+6*J127+$F$86*(-45*J93+80*J110-35*J127)+$F$86*$F$86*(50*J93-100*J110+50*J127)</f>
        <v>107.84307890910219</v>
      </c>
      <c r="K144" s="31">
        <f>10*K93-15*K110+6*K127+$F$86*(-45*K93+80*K110-35*K127)+$F$86*$F$86*(50*K93-100*K110+50*K127)</f>
        <v>127.63797094018321</v>
      </c>
      <c r="L144" s="31">
        <f>10*L93-15*L110+6*L127+$F$86*(-45*L93+80*L110-35*L127)+$F$86*$F$86*(50*L93-100*L110+50*L127)</f>
        <v>163.89587016499195</v>
      </c>
      <c r="M144" s="32"/>
      <c r="N144" s="32"/>
      <c r="O144" s="32"/>
      <c r="P144" s="32"/>
      <c r="Q144" s="32"/>
      <c r="R144" s="32"/>
      <c r="S144" s="32"/>
      <c r="T144" s="32"/>
      <c r="U144" s="32"/>
      <c r="V144" s="29"/>
      <c r="W144" s="29"/>
      <c r="X144" s="31">
        <f>10*X93-15*X110+6*X127+$F$86*(-45*X93+80*X110-35*X127)+$F$86*$F$86*(50*X93-100*X110+50*X127)</f>
        <v>40.556605608806905</v>
      </c>
      <c r="Y144" s="31">
        <f>10*Y93-15*Y110+6*Y127+$F$86*(-45*Y93+80*Y110-35*Y127)+$F$86*$F$86*(50*Y93-100*Y110+50*Y127)</f>
        <v>80.160476276999617</v>
      </c>
      <c r="Z144" s="31">
        <f>10*Z93-15*Z110+6*Z127+$F$86*(-45*Z93+80*Z110-35*Z127)+$F$86*$F$86*(50*Z93-100*Z110+50*Z127)</f>
        <v>118.81161200457817</v>
      </c>
      <c r="AA144" s="31">
        <f>10*AA93-15*AA110+6*AA127+$F$86*(-45*AA93+80*AA110-35*AA127)+$F$86*$F$86*(50*AA93-100*AA110+50*AA127)</f>
        <v>156.51001279154252</v>
      </c>
      <c r="AB144" s="31">
        <f>10*AB93-15*AB110+6*AB127+$F$86*(-45*AB93+80*AB110-35*AB127)+$F$86*$F$86*(50*AB93-100*AB110+50*AB127)</f>
        <v>193.25567863789269</v>
      </c>
      <c r="AC144" s="31">
        <f>10*AC93-15*AC110+6*AC127+$F$86*(-45*AC93+80*AC110-35*AC127)+$F$86*$F$86*(50*AC93-100*AC110+50*AC127)</f>
        <v>229.04860954362869</v>
      </c>
      <c r="AD144" s="31">
        <f>10*AD93-15*AD110+6*AD127+$F$86*(-45*AD93+80*AD110-35*AD127)+$F$86*$F$86*(50*AD93-100*AD110+50*AD127)</f>
        <v>297.77626653325814</v>
      </c>
      <c r="AE144" s="32"/>
      <c r="AF144" s="32"/>
      <c r="AG144" s="32"/>
      <c r="AH144" s="32"/>
      <c r="AI144" s="32"/>
      <c r="AJ144" s="32"/>
      <c r="AK144" s="32"/>
      <c r="AL144" s="32"/>
      <c r="AM144" s="32"/>
    </row>
    <row r="145" spans="5:39" s="17" customFormat="1" ht="0.95" customHeight="1" x14ac:dyDescent="0.2">
      <c r="F145" s="31">
        <f>10*F94-15*F111+6*F128+$F$86*(-45*F94+80*F111-35*F128)+$F$86*$F$86*(50*F94-100*F111+50*F128)</f>
        <v>24.301934671836136</v>
      </c>
      <c r="G145" s="31">
        <f>10*G94-15*G111+6*G128+$F$86*(-45*G94+80*G111-35*G128)+$F$86*$F$86*(50*G94-100*G111+50*G128)</f>
        <v>48.138444311244712</v>
      </c>
      <c r="H145" s="31">
        <f>10*H94-15*H111+6*H128+$F$86*(-45*H94+80*H111-35*H128)+$F$86*$F$86*(50*H94-100*H111+50*H128)</f>
        <v>71.500088752921556</v>
      </c>
      <c r="I145" s="31">
        <f>10*I94-15*I111+6*I128+$F$86*(-45*I94+80*I111-35*I128)+$F$86*$F$86*(50*I94-100*I111+50*I128)</f>
        <v>94.357815964484558</v>
      </c>
      <c r="J145" s="31">
        <f>10*J94-15*J111+6*J128+$F$86*(-45*J94+80*J111-35*J128)+$F$86*$F$86*(50*J94-100*J111+50*J128)</f>
        <v>116.66507386811753</v>
      </c>
      <c r="K145" s="31">
        <f>10*K94-15*K111+6*K128+$F$86*(-45*K94+80*K111-35*K128)+$F$86*$F$86*(50*K94-100*K111+50*K128)</f>
        <v>138.3583619284484</v>
      </c>
      <c r="L145" s="31">
        <f>10*L94-15*L111+6*L128+$F$86*(-45*L94+80*L111-35*L128)+$F$86*$F$86*(50*L94-100*L111+50*L128)</f>
        <v>179.48327894572145</v>
      </c>
      <c r="M145" s="31">
        <f>10*M94-15*M111+6*M128+$F$86*(-45*M94+80*M111-35*M128)+$F$86*$F$86*(50*M94-100*M111+50*M128)</f>
        <v>216.1387377952318</v>
      </c>
      <c r="N145" s="32"/>
      <c r="O145" s="32"/>
      <c r="P145" s="32"/>
      <c r="Q145" s="32"/>
      <c r="R145" s="32"/>
      <c r="S145" s="32"/>
      <c r="T145" s="32"/>
      <c r="U145" s="32"/>
      <c r="V145" s="29"/>
      <c r="W145" s="29"/>
      <c r="X145" s="31">
        <f>10*X94-15*X111+6*X128+$F$86*(-45*X94+80*X111-35*X128)+$F$86*$F$86*(50*X94-100*X111+50*X128)</f>
        <v>43.171683961254395</v>
      </c>
      <c r="Y145" s="31">
        <f>10*Y94-15*Y111+6*Y128+$F$86*(-45*Y94+80*Y111-35*Y128)+$F$86*$F$86*(50*Y94-100*Y111+50*Y128)</f>
        <v>85.390632981894612</v>
      </c>
      <c r="Z145" s="31">
        <f>10*Z94-15*Z111+6*Z128+$F$86*(-45*Z94+80*Z111-35*Z128)+$F$86*$F$86*(50*Z94-100*Z111+50*Z128)</f>
        <v>126.65684706192064</v>
      </c>
      <c r="AA145" s="31">
        <f>10*AA94-15*AA111+6*AA128+$F$86*(-45*AA94+80*AA111-35*AA128)+$F$86*$F$86*(50*AA94-100*AA111+50*AA128)</f>
        <v>166.97032620133251</v>
      </c>
      <c r="AB145" s="31">
        <f>10*AB94-15*AB111+6*AB128+$F$86*(-45*AB94+80*AB111-35*AB128)+$F$86*$F$86*(50*AB94-100*AB111+50*AB128)</f>
        <v>206.33107040013016</v>
      </c>
      <c r="AC145" s="31">
        <f>10*AC94-15*AC111+6*AC128+$F$86*(-45*AC94+80*AC111-35*AC128)+$F$86*$F$86*(50*AC94-100*AC111+50*AC128)</f>
        <v>244.73907965831367</v>
      </c>
      <c r="AD145" s="31">
        <f>10*AD94-15*AD111+6*AD128+$F$86*(-45*AD94+80*AD111-35*AD128)+$F$86*$F$86*(50*AD94-100*AD111+50*AD128)</f>
        <v>318.69689335283812</v>
      </c>
      <c r="AE145" s="31">
        <f>10*AE94-15*AE111+6*AE128+$F$86*(-45*AE94+80*AE111-35*AE128)+$F$86*$F$86*(50*AE94-100*AE111+50*AE128)</f>
        <v>388.84376728490582</v>
      </c>
      <c r="AF145" s="32"/>
      <c r="AG145" s="32"/>
      <c r="AH145" s="32"/>
      <c r="AI145" s="32"/>
      <c r="AJ145" s="32"/>
      <c r="AK145" s="32"/>
      <c r="AL145" s="32"/>
      <c r="AM145" s="32"/>
    </row>
    <row r="146" spans="5:39" s="17" customFormat="1" ht="0.95" customHeight="1" x14ac:dyDescent="0.2">
      <c r="F146" s="31">
        <f>10*F95-15*F112+6*F129+$F$86*(-45*F95+80*F112-35*F129)+$F$86*$F$86*(50*F95-100*F112+50*F129)</f>
        <v>25.915332094607663</v>
      </c>
      <c r="G146" s="31">
        <f>10*G95-15*G112+6*G129+$F$86*(-45*G95+80*G112-35*G129)+$F$86*$F$86*(50*G95-100*G112+50*G129)</f>
        <v>51.357386017250633</v>
      </c>
      <c r="H146" s="31">
        <f>10*H95-15*H112+6*H129+$F$86*(-45*H95+80*H112-35*H129)+$F$86*$F$86*(50*H95-100*H112+50*H129)</f>
        <v>76.322674096579789</v>
      </c>
      <c r="I146" s="31">
        <f>10*I95-15*I112+6*I129+$F$86*(-45*I95+80*I112-35*I129)+$F$86*$F$86*(50*I95-100*I112+50*I129)</f>
        <v>100.79310393997997</v>
      </c>
      <c r="J146" s="31">
        <f>10*J95-15*J112+6*J129+$F$86*(-45*J95+80*J112-35*J129)+$F$86*$F$86*(50*J95-100*J112+50*J129)</f>
        <v>124.73752907166096</v>
      </c>
      <c r="K146" s="31">
        <f>10*K95-15*K112+6*K129+$F$86*(-45*K95+80*K112-35*K129)+$F$86*$F$86*(50*K95-100*K112+50*K129)</f>
        <v>148.11296600359094</v>
      </c>
      <c r="L146" s="31">
        <f>10*L95-15*L112+6*L129+$F$86*(-45*L95+80*L112-35*L129)+$F$86*$F$86*(50*L95-100*L112+50*L129)</f>
        <v>192.87351691455734</v>
      </c>
      <c r="M146" s="31">
        <f>10*M95-15*M112+6*M129+$F$86*(-45*M95+80*M112-35*M129)+$F$86*$F$86*(50*M95-100*M112+50*M129)</f>
        <v>234.44707049956003</v>
      </c>
      <c r="N146" s="31">
        <f>10*N95-15*N112+6*N129+$F$86*(-45*N95+80*N112-35*N129)+$F$86*$F$86*(50*N95-100*N112+50*N129)</f>
        <v>271.14102426314616</v>
      </c>
      <c r="O146" s="32"/>
      <c r="P146" s="32"/>
      <c r="Q146" s="32"/>
      <c r="R146" s="32"/>
      <c r="S146" s="32"/>
      <c r="T146" s="32"/>
      <c r="U146" s="32"/>
      <c r="V146" s="29"/>
      <c r="W146" s="29"/>
      <c r="X146" s="31">
        <f>10*X95-15*X112+6*X129+$F$86*(-45*X95+80*X112-35*X129)+$F$86*$F$86*(50*X95-100*X112+50*X129)</f>
        <v>45.7867623137019</v>
      </c>
      <c r="Y146" s="31">
        <f>10*Y95-15*Y112+6*Y129+$F$86*(-45*Y95+80*Y112-35*Y129)+$F$86*$F$86*(50*Y95-100*Y112+50*Y129)</f>
        <v>90.620789686789621</v>
      </c>
      <c r="Z146" s="31">
        <f>10*Z95-15*Z112+6*Z129+$F$86*(-45*Z95+80*Z112-35*Z129)+$F$86*$F$86*(50*Z95-100*Z112+50*Z129)</f>
        <v>134.50208211926315</v>
      </c>
      <c r="AA146" s="31">
        <f>10*AA95-15*AA112+6*AA129+$F$86*(-45*AA95+80*AA112-35*AA129)+$F$86*$F$86*(50*AA95-100*AA112+50*AA129)</f>
        <v>177.43063961112247</v>
      </c>
      <c r="AB146" s="31">
        <f>10*AB95-15*AB112+6*AB129+$F$86*(-45*AB95+80*AB112-35*AB129)+$F$86*$F$86*(50*AB95-100*AB112+50*AB129)</f>
        <v>219.40646216236769</v>
      </c>
      <c r="AC146" s="31">
        <f>10*AC95-15*AC112+6*AC129+$F$86*(-45*AC95+80*AC112-35*AC129)+$F$86*$F$86*(50*AC95-100*AC112+50*AC129)</f>
        <v>260.42954977299866</v>
      </c>
      <c r="AD146" s="31">
        <f>10*AD95-15*AD112+6*AD129+$F$86*(-45*AD95+80*AD112-35*AD129)+$F$86*$F$86*(50*AD95-100*AD112+50*AD129)</f>
        <v>339.6175201724181</v>
      </c>
      <c r="AE146" s="31">
        <f>10*AE95-15*AE112+6*AE129+$F$86*(-45*AE95+80*AE112-35*AE129)+$F$86*$F$86*(50*AE95-100*AE112+50*AE129)</f>
        <v>414.99455080938077</v>
      </c>
      <c r="AF146" s="31">
        <f>10*AF95-15*AF112+6*AF129+$F$86*(-45*AF95+80*AF112-35*AF129)+$F$86*$F$86*(50*AF95-100*AF112+50*AF129)</f>
        <v>486.56064168388679</v>
      </c>
      <c r="AG146" s="32"/>
      <c r="AH146" s="32"/>
      <c r="AI146" s="32"/>
      <c r="AJ146" s="32"/>
      <c r="AK146" s="32"/>
      <c r="AL146" s="32"/>
      <c r="AM146" s="32"/>
    </row>
    <row r="147" spans="5:39" s="17" customFormat="1" ht="0.95" customHeight="1" x14ac:dyDescent="0.2">
      <c r="F147" s="31">
        <f>10*F96-15*F113+6*F130+$F$86*(-45*F96+80*F113-35*F130)+$F$86*$F$86*(50*F96-100*F113+50*F130)</f>
        <v>27.39784665046497</v>
      </c>
      <c r="G147" s="31">
        <f>10*G96-15*G113+6*G130+$F$86*(-45*G96+80*G113-35*G130)+$F$86*$F$86*(50*G96-100*G113+50*G130)</f>
        <v>54.317417722017268</v>
      </c>
      <c r="H147" s="31">
        <f>10*H96-15*H113+6*H130+$F$86*(-45*H96+80*H113-35*H130)+$F$86*$F$86*(50*H96-100*H113+50*H130)</f>
        <v>80.757861752315307</v>
      </c>
      <c r="I147" s="31">
        <f>10*I96-15*I113+6*I130+$F$86*(-45*I96+80*I113-35*I130)+$F$86*$F$86*(50*I96-100*I113+50*I130)</f>
        <v>106.70731461235516</v>
      </c>
      <c r="J147" s="31">
        <f>10*J96-15*J113+6*J130+$F$86*(-45*J96+80*J113-35*J130)+$F$86*$F$86*(50*J96-100*J113+50*J130)</f>
        <v>132.14375071749248</v>
      </c>
      <c r="K147" s="31">
        <f>10*K96-15*K113+6*K130+$F$86*(-45*K96+80*K113-35*K130)+$F$86*$F$86*(50*K96-100*K113+50*K130)</f>
        <v>157.03597203442968</v>
      </c>
      <c r="L147" s="31">
        <f>10*L96-15*L113+6*L130+$F$86*(-45*L96+80*L113-35*L130)+$F$86*$F$86*(50*L96-100*L113+50*L130)</f>
        <v>204.98322679466867</v>
      </c>
      <c r="M147" s="31">
        <f>10*M96-15*M113+6*M130+$F$86*(-45*M96+80*M113-35*M130)+$F$86*$F$86*(50*M96-100*M113+50*M130)</f>
        <v>250.11207223096437</v>
      </c>
      <c r="N147" s="31">
        <f>10*N96-15*N113+6*N130+$F$86*(-45*N96+80*N113-35*N130)+$F$86*$F$86*(50*N96-100*N113+50*N130)</f>
        <v>291.75436673789682</v>
      </c>
      <c r="O147" s="31">
        <f>10*O96-15*O113+6*O130+$F$86*(-45*O96+80*O113-35*O130)+$F$86*$F$86*(50*O96-100*O113+50*O130)</f>
        <v>328.17519168569561</v>
      </c>
      <c r="P147" s="32"/>
      <c r="Q147" s="32"/>
      <c r="R147" s="32"/>
      <c r="S147" s="32"/>
      <c r="T147" s="32"/>
      <c r="U147" s="32"/>
      <c r="V147" s="29"/>
      <c r="W147" s="29"/>
      <c r="X147" s="31">
        <f>10*X96-15*X113+6*X130+$F$86*(-45*X96+80*X113-35*X130)+$F$86*$F$86*(50*X96-100*X113+50*X130)</f>
        <v>48.401840666149397</v>
      </c>
      <c r="Y147" s="31">
        <f>10*Y96-15*Y113+6*Y130+$F$86*(-45*Y96+80*Y113-35*Y130)+$F$86*$F$86*(50*Y96-100*Y113+50*Y130)</f>
        <v>95.850946391684602</v>
      </c>
      <c r="Z147" s="31">
        <f>10*Z96-15*Z113+6*Z130+$F$86*(-45*Z96+80*Z113-35*Z130)+$F$86*$F$86*(50*Z96-100*Z113+50*Z130)</f>
        <v>142.34731717660566</v>
      </c>
      <c r="AA147" s="31">
        <f>10*AA96-15*AA113+6*AA130+$F$86*(-45*AA96+80*AA113-35*AA130)+$F$86*$F$86*(50*AA96-100*AA113+50*AA130)</f>
        <v>187.89095302091249</v>
      </c>
      <c r="AB147" s="31">
        <f>10*AB96-15*AB113+6*AB130+$F$86*(-45*AB96+80*AB113-35*AB130)+$F$86*$F$86*(50*AB96-100*AB113+50*AB130)</f>
        <v>232.4818539246051</v>
      </c>
      <c r="AC147" s="31">
        <f>10*AC96-15*AC113+6*AC130+$F$86*(-45*AC96+80*AC113-35*AC130)+$F$86*$F$86*(50*AC96-100*AC113+50*AC130)</f>
        <v>276.12001988768361</v>
      </c>
      <c r="AD147" s="31">
        <f>10*AD96-15*AD113+6*AD130+$F$86*(-45*AD96+80*AD113-35*AD130)+$F$86*$F$86*(50*AD96-100*AD113+50*AD130)</f>
        <v>360.53814699199802</v>
      </c>
      <c r="AE147" s="31">
        <f>10*AE96-15*AE113+6*AE130+$F$86*(-45*AE96+80*AE113-35*AE130)+$F$86*$F$86*(50*AE96-100*AE113+50*AE130)</f>
        <v>441.14533433385577</v>
      </c>
      <c r="AF147" s="31">
        <f>10*AF96-15*AF113+6*AF130+$F$86*(-45*AF96+80*AF113-35*AF130)+$F$86*$F$86*(50*AF96-100*AF113+50*AF130)</f>
        <v>517.94158191325675</v>
      </c>
      <c r="AG147" s="31">
        <f>10*AG96-15*AG113+6*AG130+$F$86*(-45*AG96+80*AG113-35*AG130)+$F$86*$F$86*(50*AG96-100*AG113+50*AG130)</f>
        <v>590.92688973020108</v>
      </c>
      <c r="AH147" s="32"/>
      <c r="AI147" s="32"/>
      <c r="AJ147" s="32"/>
      <c r="AK147" s="32"/>
      <c r="AL147" s="32"/>
      <c r="AM147" s="32"/>
    </row>
    <row r="148" spans="5:39" s="17" customFormat="1" ht="0.95" customHeight="1" x14ac:dyDescent="0.2">
      <c r="F148" s="31">
        <f>10*F97-15*F114+6*F131+$F$86*(-45*F97+80*F114-35*F131)+$F$86*$F$86*(50*F97-100*F114+50*F131)</f>
        <v>28.740695227982812</v>
      </c>
      <c r="G148" s="31">
        <f>10*G97-15*G114+6*G131+$F$86*(-45*G97+80*G114-35*G131)+$F$86*$F$86*(50*G97-100*G114+50*G131)</f>
        <v>56.999887169234057</v>
      </c>
      <c r="H148" s="31">
        <f>10*H97-15*H114+6*H131+$F$86*(-45*H97+80*H114-35*H131)+$F$86*$F$86*(50*H97-100*H114+50*H131)</f>
        <v>84.777796814167516</v>
      </c>
      <c r="I148" s="31">
        <f>10*I97-15*I114+6*I131+$F$86*(-45*I97+80*I114-35*I131)+$F$86*$F$86*(50*I97-100*I114+50*I131)</f>
        <v>112.06618473673512</v>
      </c>
      <c r="J148" s="31">
        <f>10*J97-15*J114+6*J131+$F$86*(-45*J97+80*J114-35*J131)+$F$86*$F$86*(50*J97-100*J114+50*J131)</f>
        <v>138.84860067390531</v>
      </c>
      <c r="K148" s="31">
        <f>10*K97-15*K114+6*K131+$F$86*(-45*K97+80*K114-35*K131)+$F$86*$F$86*(50*K97-100*K114+50*K131)</f>
        <v>165.10126771645429</v>
      </c>
      <c r="L148" s="31">
        <f>10*L97-15*L114+6*L131+$F$86*(-45*L97+80*L114-35*L131)+$F$86*$F$86*(50*L97-100*L114+50*L131)</f>
        <v>215.85968660125275</v>
      </c>
      <c r="M148" s="31">
        <f>10*M97-15*M114+6*M131+$F$86*(-45*M97+80*M114-35*M131)+$F$86*$F$86*(50*M97-100*M114+50*M131)</f>
        <v>264.01271447542001</v>
      </c>
      <c r="N148" s="31">
        <f>10*N97-15*N114+6*N131+$F$86*(-45*N97+80*N114-35*N131)+$F$86*$F$86*(50*N97-100*N114+50*N131)</f>
        <v>309.08379729663966</v>
      </c>
      <c r="O148" s="31">
        <f>10*O97-15*O114+6*O131+$F$86*(-45*O97+80*O114-35*O131)+$F$86*$F$86*(50*O97-100*O114+50*O131)</f>
        <v>350.38985701973286</v>
      </c>
      <c r="P148" s="31">
        <f>10*P97-15*P114+6*P131+$F$86*(-45*P97+80*P114-35*P131)+$F$86*$F$86*(50*P97-100*P114+50*P131)</f>
        <v>386.13453684667388</v>
      </c>
      <c r="Q148" s="32"/>
      <c r="R148" s="32"/>
      <c r="S148" s="32"/>
      <c r="T148" s="32"/>
      <c r="U148" s="32"/>
      <c r="V148" s="29"/>
      <c r="W148" s="29"/>
      <c r="X148" s="31">
        <f>10*X97-15*X114+6*X131+$F$86*(-45*X97+80*X114-35*X131)+$F$86*$F$86*(50*X97-100*X114+50*X131)</f>
        <v>51.016919018596887</v>
      </c>
      <c r="Y148" s="31">
        <f>10*Y97-15*Y114+6*Y131+$F$86*(-45*Y97+80*Y114-35*Y131)+$F$86*$F$86*(50*Y97-100*Y114+50*Y131)</f>
        <v>101.08110309657961</v>
      </c>
      <c r="Z148" s="31">
        <f>10*Z97-15*Z114+6*Z131+$F$86*(-45*Z97+80*Z114-35*Z131)+$F$86*$F$86*(50*Z97-100*Z114+50*Z131)</f>
        <v>150.19255223394811</v>
      </c>
      <c r="AA148" s="31">
        <f>10*AA97-15*AA114+6*AA131+$F$86*(-45*AA97+80*AA114-35*AA131)+$F$86*$F$86*(50*AA97-100*AA114+50*AA131)</f>
        <v>198.35126643070242</v>
      </c>
      <c r="AB148" s="31">
        <f>10*AB97-15*AB114+6*AB131+$F$86*(-45*AB97+80*AB114-35*AB131)+$F$86*$F$86*(50*AB97-100*AB114+50*AB131)</f>
        <v>245.55724568684263</v>
      </c>
      <c r="AC148" s="31">
        <f>10*AC97-15*AC114+6*AC131+$F$86*(-45*AC97+80*AC114-35*AC131)+$F$86*$F$86*(50*AC97-100*AC114+50*AC131)</f>
        <v>291.81049000236862</v>
      </c>
      <c r="AD148" s="31">
        <f>10*AD97-15*AD114+6*AD131+$F$86*(-45*AD97+80*AD114-35*AD131)+$F$86*$F$86*(50*AD97-100*AD114+50*AD131)</f>
        <v>381.45877381157806</v>
      </c>
      <c r="AE148" s="31">
        <f>10*AE97-15*AE114+6*AE131+$F$86*(-45*AE97+80*AE114-35*AE131)+$F$86*$F$86*(50*AE97-100*AE114+50*AE131)</f>
        <v>467.29611785833072</v>
      </c>
      <c r="AF148" s="31">
        <f>10*AF97-15*AF114+6*AF131+$F$86*(-45*AF97+80*AF114-35*AF131)+$F$86*$F$86*(50*AF97-100*AF114+50*AF131)</f>
        <v>549.32252214262667</v>
      </c>
      <c r="AG148" s="31">
        <f>10*AG97-15*AG114+6*AG131+$F$86*(-45*AG97+80*AG114-35*AG131)+$F$86*$F$86*(50*AG97-100*AG114+50*AG131)</f>
        <v>627.53798666446596</v>
      </c>
      <c r="AH148" s="31">
        <f>10*AH97-15*AH114+6*AH131+$F$86*(-45*AH97+80*AH114-35*AH131)+$F$86*$F$86*(50*AH97-100*AH114+50*AH131)</f>
        <v>701.94251142384849</v>
      </c>
      <c r="AI148" s="32"/>
      <c r="AJ148" s="32"/>
      <c r="AK148" s="32"/>
      <c r="AL148" s="32"/>
      <c r="AM148" s="32"/>
    </row>
    <row r="149" spans="5:39" s="17" customFormat="1" ht="0.95" customHeight="1" x14ac:dyDescent="0.2">
      <c r="F149" s="31">
        <f>10*F98-15*F115+6*F132+$F$86*(-45*F98+80*F115-35*F132)+$F$86*$F$86*(50*F98-100*F115+50*F132)</f>
        <v>31.162156815584453</v>
      </c>
      <c r="G149" s="31">
        <f>10*G98-15*G115+6*G132+$F$86*(-45*G98+80*G115-35*G132)+$F$86*$F$86*(50*G98-100*G115+50*G132)</f>
        <v>61.838305794601069</v>
      </c>
      <c r="H149" s="31">
        <f>10*H98-15*H115+6*H132+$F$86*(-45*H98+80*H115-35*H132)+$F$86*$F$86*(50*H98-100*H115+50*H132)</f>
        <v>92.029084429564762</v>
      </c>
      <c r="I149" s="31">
        <f>10*I98-15*I115+6*I132+$F$86*(-45*I98+80*I115-35*I132)+$F$86*$F$86*(50*I98-100*I115+50*I132)</f>
        <v>121.72999846663203</v>
      </c>
      <c r="J149" s="31">
        <f>10*J98-15*J115+6*J132+$F$86*(-45*J98+80*J115-35*J132)+$F$86*$F$86*(50*J98-100*J115+50*J132)</f>
        <v>150.93109882315315</v>
      </c>
      <c r="K149" s="31">
        <f>10*K98-15*K115+6*K132+$F$86*(-45*K98+80*K115-35*K132)+$F$86*$F$86*(50*K98-100*K115+50*K132)</f>
        <v>179.61720017501477</v>
      </c>
      <c r="L149" s="31">
        <f>10*L98-15*L115+6*L132+$F$86*(-45*L98+80*L115-35*L132)+$F$86*$F$86*(50*L98-100*L115+50*L132)</f>
        <v>235.3423124834917</v>
      </c>
      <c r="M149" s="31">
        <f>10*M98-15*M115+6*M132+$F$86*(-45*M98+80*M115-35*M132)+$F$86*$F$86*(50*M98-100*M115+50*M132)</f>
        <v>288.69544034047829</v>
      </c>
      <c r="N149" s="31">
        <f>10*N98-15*N115+6*N132+$F$86*(-45*N98+80*N115-35*N132)+$F$86*$F$86*(50*N98-100*N115+50*N132)</f>
        <v>339.38973329054522</v>
      </c>
      <c r="O149" s="31">
        <f>10*O98-15*O115+6*O132+$F$86*(-45*O98+80*O115-35*O132)+$F$86*$F$86*(50*O98-100*O115+50*O132)</f>
        <v>387.05697709805349</v>
      </c>
      <c r="P149" s="31">
        <f>10*P98-15*P115+6*P132+$F$86*(-45*P98+80*P115-35*P132)+$F$86*$F$86*(50*P98-100*P115+50*P132)</f>
        <v>431.36165669477236</v>
      </c>
      <c r="Q149" s="31">
        <f>10*Q98-15*Q115+6*Q132+$F$86*(-45*Q98+80*Q115-35*Q132)+$F$86*$F$86*(50*Q98-100*Q115+50*Q132)</f>
        <v>504.57360715817617</v>
      </c>
      <c r="R149" s="32"/>
      <c r="S149" s="32"/>
      <c r="T149" s="32"/>
      <c r="U149" s="32"/>
      <c r="V149" s="29"/>
      <c r="W149" s="29"/>
      <c r="X149" s="31">
        <f>10*X98-15*X115+6*X132+$F$86*(-45*X98+80*X115-35*X132)+$F$86*$F$86*(50*X98-100*X115+50*X132)</f>
        <v>53.356071562131213</v>
      </c>
      <c r="Y149" s="31">
        <f>10*Y98-15*Y115+6*Y132+$F$86*(-45*Y98+80*Y115-35*Y132)+$F$86*$F$86*(50*Y98-100*Y115+50*Y132)</f>
        <v>106.11412085507432</v>
      </c>
      <c r="Z149" s="31">
        <f>10*Z98-15*Z115+6*Z132+$F$86*(-45*Z98+80*Z115-35*Z132)+$F$86*$F$86*(50*Z98-100*Z115+50*Z132)</f>
        <v>158.27414787882938</v>
      </c>
      <c r="AA149" s="31">
        <f>10*AA98-15*AA115+6*AA132+$F$86*(-45*AA98+80*AA115-35*AA132)+$F$86*$F$86*(50*AA98-100*AA115+50*AA132)</f>
        <v>209.83615263339632</v>
      </c>
      <c r="AB149" s="31">
        <f>10*AB98-15*AB115+6*AB132+$F$86*(-45*AB98+80*AB115-35*AB132)+$F$86*$F$86*(50*AB98-100*AB115+50*AB132)</f>
        <v>260.80013511877519</v>
      </c>
      <c r="AC149" s="31">
        <f>10*AC98-15*AC115+6*AC132+$F$86*(-45*AC98+80*AC115-35*AC132)+$F$86*$F$86*(50*AC98-100*AC115+50*AC132)</f>
        <v>311.16609533496597</v>
      </c>
      <c r="AD149" s="31">
        <f>10*AD98-15*AD115+6*AD132+$F$86*(-45*AD98+80*AD115-35*AD132)+$F$86*$F$86*(50*AD98-100*AD115+50*AD132)</f>
        <v>410.10394895978334</v>
      </c>
      <c r="AE149" s="31">
        <f>10*AE98-15*AE115+6*AE132+$F$86*(-45*AE98+80*AE115-35*AE132)+$F$86*$F$86*(50*AE98-100*AE115+50*AE132)</f>
        <v>511.68478864968569</v>
      </c>
      <c r="AF149" s="31">
        <f>10*AF98-15*AF115+6*AF132+$F$86*(-45*AF98+80*AF115-35*AF132)+$F$86*$F$86*(50*AF98-100*AF115+50*AF132)</f>
        <v>604.52534837975873</v>
      </c>
      <c r="AG149" s="31">
        <f>10*AG98-15*AG115+6*AG132+$F$86*(-45*AG98+80*AG115-35*AG132)+$F$86*$F$86*(50*AG98-100*AG115+50*AG132)</f>
        <v>691.92464777274108</v>
      </c>
      <c r="AH149" s="31">
        <f>10*AH98-15*AH115+6*AH132+$F$86*(-45*AH98+80*AH115-35*AH132)+$F$86*$F$86*(50*AH98-100*AH115+50*AH132)</f>
        <v>773.88268682863281</v>
      </c>
      <c r="AI149" s="31">
        <f>10*AI98-15*AI115+6*AI132+$F$86*(-45*AI98+80*AI115-35*AI132)+$F$86*$F$86*(50*AI98-100*AI115+50*AI132)</f>
        <v>921.4749839291444</v>
      </c>
      <c r="AJ149" s="32"/>
      <c r="AK149" s="32"/>
      <c r="AL149" s="32"/>
      <c r="AM149" s="32"/>
    </row>
    <row r="150" spans="5:39" s="17" customFormat="1" ht="0.95" customHeight="1" x14ac:dyDescent="0.2">
      <c r="F150" s="31">
        <f>10*F99-15*F116+6*F133+$F$86*(-45*F99+80*F116-35*F133)+$F$86*$F$86*(50*F99-100*F116+50*F133)</f>
        <v>33.249464274646755</v>
      </c>
      <c r="G150" s="31">
        <f>10*G99-15*G116+6*G133+$F$86*(-45*G99+80*G116-35*G133)+$F$86*$F$86*(50*G99-100*G116+50*G133)</f>
        <v>66.00919254188679</v>
      </c>
      <c r="H150" s="31">
        <f>10*H99-15*H116+6*H133+$F$86*(-45*H99+80*H116-35*H133)+$F$86*$F$86*(50*H99-100*H116+50*H133)</f>
        <v>98.279353697709496</v>
      </c>
      <c r="I150" s="31">
        <f>10*I99-15*I116+6*I133+$F$86*(-45*I99+80*I116-35*I133)+$F$86*$F$86*(50*I99-100*I116+50*I133)</f>
        <v>130.05688036221699</v>
      </c>
      <c r="J150" s="31">
        <f>10*J99-15*J116+6*J133+$F$86*(-45*J99+80*J116-35*J133)+$F$86*$F$86*(50*J99-100*J116+50*J133)</f>
        <v>161.33476382028431</v>
      </c>
      <c r="K150" s="31">
        <f>10*K99-15*K116+6*K133+$F$86*(-45*K99+80*K116-35*K133)+$F$86*$F$86*(50*K99-100*K116+50*K133)</f>
        <v>192.10211550662996</v>
      </c>
      <c r="L150" s="31">
        <f>10*L99-15*L116+6*L133+$F$86*(-45*L99+80*L116-35*L133)+$F$86*$F$86*(50*L99-100*L116+50*L133)</f>
        <v>252.03102556919657</v>
      </c>
      <c r="M150" s="31">
        <f>10*M99-15*M116+6*M133+$F$86*(-45*M99+80*M116-35*M133)+$F$86*$F$86*(50*M99-100*M116+50*M133)</f>
        <v>309.69187563370235</v>
      </c>
      <c r="N150" s="31">
        <f>10*N99-15*N116+6*N133+$F$86*(-45*N99+80*N116-35*N133)+$F$86*$F$86*(50*N99-100*N116+50*N133)</f>
        <v>364.88190126652091</v>
      </c>
      <c r="O150" s="31">
        <f>10*O99-15*O116+6*O133+$F$86*(-45*O99+80*O116-35*O133)+$F$86*$F$86*(50*O99-100*O116+50*O133)</f>
        <v>417.35564001662647</v>
      </c>
      <c r="P150" s="31">
        <f>10*P99-15*P116+6*P133+$F$86*(-45*P99+80*P116-35*P133)+$F$86*$F$86*(50*P99-100*P116+50*P133)</f>
        <v>466.81383711250623</v>
      </c>
      <c r="Q150" s="31">
        <f>10*Q99-15*Q116+6*Q133+$F$86*(-45*Q99+80*Q116-35*Q133)+$F$86*$F$86*(50*Q99-100*Q116+50*Q133)</f>
        <v>555.17169853291784</v>
      </c>
      <c r="R150" s="31">
        <f>10*R99-15*R116+6*R133+$F$86*(-45*R99+80*R116-35*R133)+$F$86*$F$86*(50*R99-100*R116+50*R133)</f>
        <v>623.91717204585302</v>
      </c>
      <c r="S150" s="32"/>
      <c r="T150" s="32"/>
      <c r="U150" s="32"/>
      <c r="V150" s="29"/>
      <c r="W150" s="29"/>
      <c r="X150" s="31">
        <f>10*X99-15*X116+6*X133+$F$86*(-45*X99+80*X116-35*X133)+$F$86*$F$86*(50*X99-100*X116+50*X133)</f>
        <v>56.831791892126155</v>
      </c>
      <c r="Y150" s="31">
        <f>10*Y99-15*Y116+6*Y133+$F$86*(-45*Y99+80*Y116-35*Y133)+$F$86*$F$86*(50*Y99-100*Y116+50*Y133)</f>
        <v>113.09554053321585</v>
      </c>
      <c r="Z150" s="31">
        <f>10*Z99-15*Z116+6*Z133+$F$86*(-45*Z99+80*Z116-35*Z133)+$F$86*$F$86*(50*Z99-100*Z116+50*Z133)</f>
        <v>168.79124592326912</v>
      </c>
      <c r="AA150" s="31">
        <f>10*AA99-15*AA116+6*AA133+$F$86*(-45*AA99+80*AA116-35*AA133)+$F$86*$F$86*(50*AA99-100*AA116+50*AA133)</f>
        <v>223.91890806228588</v>
      </c>
      <c r="AB150" s="31">
        <f>10*AB99-15*AB116+6*AB133+$F$86*(-45*AB99+80*AB116-35*AB133)+$F$86*$F$86*(50*AB99-100*AB116+50*AB133)</f>
        <v>278.47852695026631</v>
      </c>
      <c r="AC150" s="31">
        <f>10*AC99-15*AC116+6*AC133+$F$86*(-45*AC99+80*AC116-35*AC133)+$F$86*$F$86*(50*AC99-100*AC116+50*AC133)</f>
        <v>332.47010258721014</v>
      </c>
      <c r="AD150" s="31">
        <f>10*AD99-15*AD116+6*AD133+$F$86*(-45*AD99+80*AD116-35*AD133)+$F$86*$F$86*(50*AD99-100*AD116+50*AD133)</f>
        <v>438.74912410798862</v>
      </c>
      <c r="AE150" s="31">
        <f>10*AE99-15*AE116+6*AE133+$F$86*(-45*AE99+80*AE116-35*AE133)+$F$86*$F$86*(50*AE99-100*AE116+50*AE133)</f>
        <v>547.02993933361245</v>
      </c>
      <c r="AF150" s="31">
        <f>10*AF99-15*AF116+6*AF133+$F$86*(-45*AF99+80*AF116-35*AF133)+$F$86*$F$86*(50*AF99-100*AF116+50*AF133)</f>
        <v>649.8694942221457</v>
      </c>
      <c r="AG150" s="31">
        <f>10*AG99-15*AG116+6*AG133+$F$86*(-45*AG99+80*AG116-35*AG133)+$F$86*$F$86*(50*AG99-100*AG116+50*AG133)</f>
        <v>747.26778877358811</v>
      </c>
      <c r="AH150" s="31">
        <f>10*AH99-15*AH116+6*AH133+$F$86*(-45*AH99+80*AH116-35*AH133)+$F$86*$F$86*(50*AH99-100*AH116+50*AH133)</f>
        <v>839.22482298794012</v>
      </c>
      <c r="AI150" s="31">
        <f>10*AI99-15*AI116+6*AI133+$F$86*(-45*AI99+80*AI116-35*AI133)+$F$86*$F$86*(50*AI99-100*AI116+50*AI133)</f>
        <v>1006.8151104053716</v>
      </c>
      <c r="AJ150" s="31">
        <f>10*AJ99-15*AJ116+6*AJ133+$F$86*(-45*AJ99+80*AJ116-35*AJ133)+$F$86*$F$86*(50*AJ99-100*AJ116+50*AJ133)</f>
        <v>1152.6403564744408</v>
      </c>
      <c r="AK150" s="32"/>
      <c r="AL150" s="32"/>
      <c r="AM150" s="32"/>
    </row>
    <row r="151" spans="5:39" s="17" customFormat="1" ht="0.95" customHeight="1" x14ac:dyDescent="0.2">
      <c r="F151" s="31">
        <f>10*F100-15*F117+6*F134+$F$86*(-45*F100+80*F117-35*F134)+$F$86*$F$86*(50*F100-100*F117+50*F134)</f>
        <v>36.516073854627962</v>
      </c>
      <c r="G151" s="31">
        <f>10*G100-15*G117+6*G134+$F$86*(-45*G100+80*G117-35*G134)+$F$86*$F$86*(50*G100-100*G117+50*G134)</f>
        <v>72.53719473431758</v>
      </c>
      <c r="H151" s="31">
        <f>10*H100-15*H117+6*H134+$F$86*(-45*H100+80*H117-35*H134)+$F$86*$F$86*(50*H100-100*H117+50*H134)</f>
        <v>108.06243458198855</v>
      </c>
      <c r="I151" s="31">
        <f>10*I100-15*I117+6*I134+$F$86*(-45*I100+80*I117-35*I134)+$F$86*$F$86*(50*I100-100*I117+50*I134)</f>
        <v>143.08941424151084</v>
      </c>
      <c r="J151" s="31">
        <f>10*J100-15*J117+6*J134+$F$86*(-45*J100+80*J117-35*J134)+$F$86*$F$86*(50*J100-100*J117+50*J134)</f>
        <v>177.61330696000886</v>
      </c>
      <c r="K151" s="31">
        <f>10*K100-15*K117+6*K134+$F$86*(-45*K100+80*K117-35*K134)+$F$86*$F$86*(50*K100-100*K117+50*K134)</f>
        <v>211.62677124263541</v>
      </c>
      <c r="L151" s="31">
        <f>10*L100-15*L117+6*L134+$F$86*(-45*L100+80*L117-35*L134)+$F$86*$F$86*(50*L100-100*L117+50*L134)</f>
        <v>278.07215448979127</v>
      </c>
      <c r="M151" s="31">
        <f>10*M100-15*M117+6*M134+$F$86*(-45*M100+80*M117-35*M134)+$F$86*$F$86*(50*M100-100*M117+50*M134)</f>
        <v>342.32391633855923</v>
      </c>
      <c r="N151" s="31">
        <f>10*N100-15*N117+6*N134+$F$86*(-45*N100+80*N117-35*N134)+$F$86*$F$86*(50*N100-100*N117+50*N134)</f>
        <v>404.24972411164549</v>
      </c>
      <c r="O151" s="31">
        <f>10*O100-15*O117+6*O134+$F$86*(-45*O100+80*O117-35*O134)+$F$86*$F$86*(50*O100-100*O117+50*O134)</f>
        <v>463.69646987910392</v>
      </c>
      <c r="P151" s="31">
        <f>10*P100-15*P117+6*P134+$F$86*(-45*P100+80*P117-35*P134)+$F$86*$F$86*(50*P100-100*P117+50*P134)</f>
        <v>520.50118276100238</v>
      </c>
      <c r="Q151" s="31">
        <f>10*Q100-15*Q117+6*Q134+$F$86*(-45*Q100+80*Q117-35*Q134)+$F$86*$F$86*(50*Q100-100*Q117+50*Q134)</f>
        <v>625.30876703382137</v>
      </c>
      <c r="R151" s="31">
        <f>10*R100-15*R117+6*R134+$F$86*(-45*R100+80*R117-35*R134)+$F$86*$F$86*(50*R100-100*R117+50*R134)</f>
        <v>717.08504803313053</v>
      </c>
      <c r="S151" s="31">
        <f>10*S100-15*S117+6*S134+$F$86*(-45*S100+80*S117-35*S134)+$F$86*$F$86*(50*S100-100*S117+50*S134)</f>
        <v>851.22232628136817</v>
      </c>
      <c r="T151" s="32"/>
      <c r="U151" s="32"/>
      <c r="V151" s="29"/>
      <c r="W151" s="29"/>
      <c r="X151" s="31">
        <f>10*X100-15*X117+6*X134+$F$86*(-45*X100+80*X117-35*X134)+$F$86*$F$86*(50*X100-100*X117+50*X134)</f>
        <v>62.138255595737228</v>
      </c>
      <c r="Y151" s="31">
        <f>10*Y100-15*Y117+6*Y134+$F$86*(-45*Y100+80*Y117-35*Y134)+$F$86*$F$86*(50*Y100-100*Y117+50*Y134)</f>
        <v>123.79262332207031</v>
      </c>
      <c r="Z151" s="31">
        <f>10*Z100-15*Z117+6*Z134+$F$86*(-45*Z100+80*Z117-35*Z134)+$F$86*$F$86*(50*Z100-100*Z117+50*Z134)</f>
        <v>184.96310317899921</v>
      </c>
      <c r="AA151" s="31">
        <f>10*AA100-15*AA117+6*AA134+$F$86*(-45*AA100+80*AA117-35*AA134)+$F$86*$F$86*(50*AA100-100*AA117+50*AA134)</f>
        <v>245.64969516652403</v>
      </c>
      <c r="AB151" s="31">
        <f>10*AB100-15*AB117+6*AB134+$F$86*(-45*AB100+80*AB117-35*AB134)+$F$86*$F$86*(50*AB100-100*AB117+50*AB134)</f>
        <v>305.85239928464466</v>
      </c>
      <c r="AC151" s="31">
        <f>10*AC100-15*AC117+6*AC134+$F$86*(-45*AC100+80*AC117-35*AC134)+$F$86*$F$86*(50*AC100-100*AC117+50*AC134)</f>
        <v>365.57121553336111</v>
      </c>
      <c r="AD151" s="31">
        <f>10*AD100-15*AD117+6*AD134+$F$86*(-45*AD100+80*AD117-35*AD134)+$F$86*$F$86*(50*AD100-100*AD117+50*AD134)</f>
        <v>483.55718442258166</v>
      </c>
      <c r="AE151" s="31">
        <f>10*AE100-15*AE117+6*AE134+$F$86*(-45*AE100+80*AE117-35*AE134)+$F$86*$F$86*(50*AE100-100*AE117+50*AE134)</f>
        <v>600.81151509628205</v>
      </c>
      <c r="AF151" s="31">
        <f>10*AF100-15*AF117+6*AF134+$F$86*(-45*AF100+80*AF117-35*AF134)+$F$86*$F$86*(50*AF100-100*AF117+50*AF134)</f>
        <v>714.43002804689036</v>
      </c>
      <c r="AG151" s="31">
        <f>10*AG100-15*AG117+6*AG134+$F$86*(-45*AG100+80*AG117-35*AG134)+$F$86*$F$86*(50*AG100-100*AG117+50*AG134)</f>
        <v>824.41272327440652</v>
      </c>
      <c r="AH151" s="31">
        <f>10*AH100-15*AH117+6*AH134+$F$86*(-45*AH100+80*AH117-35*AH134)+$F$86*$F$86*(50*AH100-100*AH117+50*AH134)</f>
        <v>930.75960077883053</v>
      </c>
      <c r="AI151" s="31">
        <f>10*AI100-15*AI117+6*AI134+$F$86*(-45*AI100+80*AI117-35*AI134)+$F$86*$F$86*(50*AI100-100*AI117+50*AI134)</f>
        <v>1132.5459026184021</v>
      </c>
      <c r="AJ151" s="31">
        <f>10*AJ100-15*AJ117+6*AJ134+$F$86*(-45*AJ100+80*AJ117-35*AJ134)+$F$86*$F$86*(50*AJ100-100*AJ117+50*AJ134)</f>
        <v>1319.7889335656052</v>
      </c>
      <c r="AK151" s="31">
        <f>10*AK100-15*AK117+6*AK134+$F$86*(-45*AK100+80*AK117-35*AK134)+$F$86*$F$86*(50*AK100-100*AK117+50*AK134)</f>
        <v>1610.5368110902652</v>
      </c>
      <c r="AL151" s="32"/>
      <c r="AM151" s="32"/>
    </row>
    <row r="152" spans="5:39" s="17" customFormat="1" ht="0.95" customHeight="1" x14ac:dyDescent="0.2">
      <c r="F152" s="31">
        <f>10*F101-15*F118+6*F135+$F$86*(-45*F101+80*F118-35*F135)+$F$86*$F$86*(50*F101-100*F118+50*F135)</f>
        <v>40.429223854435904</v>
      </c>
      <c r="G152" s="31">
        <f>10*G101-15*G118+6*G135+$F$86*(-45*G101+80*G118-35*G135)+$F$86*$F$86*(50*G101-100*G118+50*G135)</f>
        <v>80.355630820577801</v>
      </c>
      <c r="H152" s="31">
        <f>10*H101-15*H118+6*H135+$F$86*(-45*H101+80*H118-35*H135)+$F$86*$F$86*(50*H101-100*H118+50*H135)</f>
        <v>119.77717685321619</v>
      </c>
      <c r="I152" s="31">
        <f>10*I101-15*I118+6*I135+$F$86*(-45*I101+80*I118-35*I135)+$F$86*$F$86*(50*I101-100*I118+50*I135)</f>
        <v>158.69131611137203</v>
      </c>
      <c r="J152" s="31">
        <f>10*J101-15*J118+6*J135+$F$86*(-45*J101+80*J118-35*J135)+$F$86*$F$86*(50*J101-100*J118+50*J135)</f>
        <v>197.09397028610238</v>
      </c>
      <c r="K152" s="31">
        <f>10*K101-15*K118+6*K135+$F$86*(-45*K101+80*K118-35*K135)+$F$86*$F$86*(50*K101-100*K118+50*K135)</f>
        <v>234.97940399352558</v>
      </c>
      <c r="L152" s="31">
        <f>10*L101-15*L118+6*L135+$F$86*(-45*L101+80*L118-35*L135)+$F$86*$F$86*(50*L101-100*L118+50*L135)</f>
        <v>309.16046341573656</v>
      </c>
      <c r="M152" s="31">
        <f>10*M101-15*M118+6*M135+$F$86*(-45*M101+80*M118-35*M135)+$F$86*$F$86*(50*M101-100*M118+50*M135)</f>
        <v>381.15895163798371</v>
      </c>
      <c r="N152" s="31">
        <f>10*N101-15*N118+6*N135+$F$86*(-45*N101+80*N118-35*N135)+$F$86*$F$86*(50*N101-100*N118+50*N135)</f>
        <v>450.87931198217484</v>
      </c>
      <c r="O152" s="31">
        <f>10*O101-15*O118+6*O135+$F$86*(-45*O101+80*O118-35*O135)+$F$86*$F$86*(50*O101-100*O118+50*O135)</f>
        <v>518.214456957523</v>
      </c>
      <c r="P152" s="31">
        <f>10*P101-15*P118+6*P135+$F$86*(-45*P101+80*P118-35*P135)+$F$86*$F$86*(50*P101-100*P118+50*P135)</f>
        <v>583.05623893558118</v>
      </c>
      <c r="Q152" s="31">
        <f>10*Q101-15*Q118+6*Q135+$F$86*(-45*Q101+80*Q118-35*Q135)+$F$86*$F$86*(50*Q101-100*Q118+50*Q135)</f>
        <v>704.72477480360453</v>
      </c>
      <c r="R152" s="31">
        <f>10*R101-15*R118+6*R135+$F$86*(-45*R101+80*R118-35*R135)+$F$86*$F$86*(50*R101-100*R118+50*R135)</f>
        <v>815.10767989278702</v>
      </c>
      <c r="S152" s="31">
        <f>10*S101-15*S118+6*S135+$F$86*(-45*S101+80*S118-35*S135)+$F$86*$F$86*(50*S101-100*S118+50*S135)</f>
        <v>999.78869770643314</v>
      </c>
      <c r="T152" s="31">
        <f>10*T101-15*T118+6*T135+$F$86*(-45*T101+80*T118-35*T135)+$F$86*$F$86*(50*T101-100*T118+50*T135)</f>
        <v>1214.0075323511119</v>
      </c>
      <c r="U152" s="32"/>
      <c r="V152" s="29"/>
      <c r="W152" s="29"/>
      <c r="X152" s="31">
        <f>10*X101-15*X118+6*X135+$F$86*(-45*X101+80*X118-35*X135)+$F$86*$F$86*(50*X101-100*X118+50*X135)</f>
        <v>68.810777487969062</v>
      </c>
      <c r="Y152" s="31">
        <f>10*Y101-15*Y118+6*Y135+$F$86*(-45*Y101+80*Y118-35*Y135)+$F$86*$F$86*(50*Y101-100*Y118+50*Y135)</f>
        <v>137.1739788699112</v>
      </c>
      <c r="Z152" s="31">
        <f>10*Z101-15*Z118+6*Z135+$F$86*(-45*Z101+80*Z118-35*Z135)+$F$86*$F$86*(50*Z101-100*Z118+50*Z135)</f>
        <v>205.08960414582631</v>
      </c>
      <c r="AA152" s="31">
        <f>10*AA101-15*AA118+6*AA135+$F$86*(-45*AA101+80*AA118-35*AA135)+$F$86*$F$86*(50*AA101-100*AA118+50*AA135)</f>
        <v>272.55765331571445</v>
      </c>
      <c r="AB152" s="31">
        <f>10*AB101-15*AB118+6*AB135+$F$86*(-45*AB101+80*AB118-35*AB135)+$F$86*$F$86*(50*AB101-100*AB118+50*AB135)</f>
        <v>339.57812637957568</v>
      </c>
      <c r="AC152" s="31">
        <f>10*AC101-15*AC118+6*AC135+$F$86*(-45*AC101+80*AC118-35*AC135)+$F$86*$F$86*(50*AC101-100*AC118+50*AC135)</f>
        <v>406.15102333740987</v>
      </c>
      <c r="AD152" s="31">
        <f>10*AD101-15*AD118+6*AD135+$F$86*(-45*AD101+80*AD118-35*AD135)+$F$86*$F$86*(50*AD101-100*AD118+50*AD135)</f>
        <v>537.95408893499757</v>
      </c>
      <c r="AE152" s="31">
        <f>10*AE101-15*AE118+6*AE135+$F$86*(-45*AE101+80*AE118-35*AE135)+$F$86*$F$86*(50*AE101-100*AE118+50*AE135)</f>
        <v>669.48862199051757</v>
      </c>
      <c r="AF152" s="31">
        <f>10*AF101-15*AF118+6*AF135+$F$86*(-45*AF101+80*AF118-35*AF135)+$F$86*$F$86*(50*AF101-100*AF118+50*AF135)</f>
        <v>797.83101055787972</v>
      </c>
      <c r="AG152" s="31">
        <f>10*AG101-15*AG118+6*AG135+$F$86*(-45*AG101+80*AG118-35*AG135)+$F$86*$F$86*(50*AG101-100*AG118+50*AG135)</f>
        <v>922.98125463708357</v>
      </c>
      <c r="AH152" s="31">
        <f>10*AH101-15*AH118+6*AH135+$F$86*(-45*AH101+80*AH118-35*AH135)+$F$86*$F$86*(50*AH101-100*AH118+50*AH135)</f>
        <v>1044.9393542281296</v>
      </c>
      <c r="AI152" s="31">
        <f>10*AI101-15*AI118+6*AI135+$F$86*(-45*AI101+80*AI118-35*AI135)+$F$86*$F$86*(50*AI101-100*AI118+50*AI135)</f>
        <v>1279.279119945747</v>
      </c>
      <c r="AJ152" s="31">
        <f>10*AJ101-15*AJ118+6*AJ135+$F$86*(-45*AJ101+80*AJ118-35*AJ135)+$F$86*$F$86*(50*AJ101-100*AJ118+50*AJ135)</f>
        <v>1500.8503077107323</v>
      </c>
      <c r="AK152" s="31">
        <f>10*AK101-15*AK118+6*AK135+$F$86*(-45*AK101+80*AK118-35*AK135)+$F$86*$F$86*(50*AK101-100*AK118+50*AK135)</f>
        <v>1888.9378457099874</v>
      </c>
      <c r="AL152" s="31">
        <f>10*AL101-15*AL118+6*AL135+$F$86*(-45*AL101+80*AL118-35*AL135)+$F$86*$F$86*(50*AL101-100*AL118+50*AL135)</f>
        <v>2418.7932299270701</v>
      </c>
      <c r="AM152" s="32"/>
    </row>
    <row r="153" spans="5:39" s="17" customFormat="1" ht="0.95" customHeight="1" x14ac:dyDescent="0.2">
      <c r="F153" s="31">
        <f>10*F102-15*F119+6*F136+$F$86*(-45*F102+80*F119-35*F136)+$F$86*$F$86*(50*F102-100*F119+50*F136)</f>
        <v>43.158168527992615</v>
      </c>
      <c r="G153" s="31">
        <f>10*G102-15*G119+6*G136+$F$86*(-45*G102+80*G119-35*G136)+$F$86*$F$86*(50*G102-100*G119+50*G136)</f>
        <v>85.80304042899121</v>
      </c>
      <c r="H153" s="31">
        <f>10*H102-15*H119+6*H136+$F$86*(-45*H102+80*H119-35*H136)+$F$86*$F$86*(50*H102-100*H119+50*H136)</f>
        <v>127.93202180078669</v>
      </c>
      <c r="I153" s="31">
        <f>10*I102-15*I119+6*I136+$F$86*(-45*I102+80*I119-35*I136)+$F$86*$F$86*(50*I102-100*I119+50*I136)</f>
        <v>169.54228704069038</v>
      </c>
      <c r="J153" s="31">
        <f>10*J102-15*J119+6*J136+$F$86*(-45*J102+80*J119-35*J136)+$F$86*$F$86*(50*J102-100*J119+50*J136)</f>
        <v>210.62978444656414</v>
      </c>
      <c r="K153" s="31">
        <f>10*K102-15*K119+6*K136+$F$86*(-45*K102+80*K119-35*K136)+$F$86*$F$86*(50*K102-100*K119+50*K136)</f>
        <v>251.18905104993416</v>
      </c>
      <c r="L153" s="31">
        <f>10*L102-15*L119+6*L136+$F$86*(-45*L102+80*L119-35*L136)+$F$86*$F$86*(50*L102-100*L119+50*L136)</f>
        <v>330.687538551947</v>
      </c>
      <c r="M153" s="31">
        <f>10*M102-15*M119+6*M136+$F$86*(-45*M102+80*M119-35*M136)+$F$86*$F$86*(50*M102-100*M119+50*M136)</f>
        <v>407.96883672876675</v>
      </c>
      <c r="N153" s="31">
        <f>10*N102-15*N119+6*N136+$F$86*(-45*N102+80*N119-35*N136)+$F$86*$F$86*(50*N102-100*N119+50*N136)</f>
        <v>482.94737405744308</v>
      </c>
      <c r="O153" s="31">
        <f>10*O102-15*O119+6*O136+$F$86*(-45*O102+80*O119-35*O136)+$F$86*$F$86*(50*O102-100*O119+50*O136)</f>
        <v>555.52862366575164</v>
      </c>
      <c r="P153" s="31">
        <f>10*P102-15*P119+6*P136+$F$86*(-45*P102+80*P119-35*P136)+$F$86*$F$86*(50*P102-100*P119+50*P136)</f>
        <v>625.61923641799626</v>
      </c>
      <c r="Q153" s="31">
        <f>10*Q102-15*Q119+6*Q136+$F$86*(-45*Q102+80*Q119-35*Q136)+$F$86*$F$86*(50*Q102-100*Q119+50*Q136)</f>
        <v>757.87894956627429</v>
      </c>
      <c r="R153" s="31">
        <f>10*R102-15*R119+6*R136+$F$86*(-45*R102+80*R119-35*R136)+$F$86*$F$86*(50*R102-100*R119+50*R136)</f>
        <v>879.11122060156413</v>
      </c>
      <c r="S153" s="31">
        <f>10*S102-15*S119+6*S136+$F$86*(-45*S102+80*S119-35*S136)+$F$86*$F$86*(50*S102-100*S119+50*S136)</f>
        <v>1087.1817515519424</v>
      </c>
      <c r="T153" s="31">
        <f>10*T102-15*T119+6*T136+$F$86*(-45*T102+80*T119-35*T136)+$F$86*$F$86*(50*T102-100*T119+50*T136)</f>
        <v>1370.6252063582101</v>
      </c>
      <c r="U153" s="31">
        <f>10*U102-15*U119+6*U136+$F$86*(-45*U102+80*U119-35*U136)+$F$86*$F$86*(50*U102-100*U119+50*U136)</f>
        <v>1547.1975826947557</v>
      </c>
      <c r="V153" s="29"/>
      <c r="W153" s="29"/>
      <c r="X153" s="31">
        <f>10*X102-15*X119+6*X136+$F$86*(-45*X102+80*X119-35*X136)+$F$86*$F$86*(50*X102-100*X119+50*X136)</f>
        <v>73.583581978738124</v>
      </c>
      <c r="Y153" s="31">
        <f>10*Y102-15*Y119+6*Y136+$F$86*(-45*Y102+80*Y119-35*Y136)+$F$86*$F$86*(50*Y102-100*Y119+50*Y136)</f>
        <v>146.71958785144929</v>
      </c>
      <c r="Z153" s="31">
        <f>10*Z102-15*Z119+6*Z136+$F$86*(-45*Z102+80*Z119-35*Z136)+$F$86*$F$86*(50*Z102-100*Z119+50*Z136)</f>
        <v>219.40801761813344</v>
      </c>
      <c r="AA153" s="31">
        <f>10*AA102-15*AA119+6*AA136+$F$86*(-45*AA102+80*AA119-35*AA136)+$F$86*$F$86*(50*AA102-100*AA119+50*AA136)</f>
        <v>291.64887127879069</v>
      </c>
      <c r="AB153" s="31">
        <f>10*AB102-15*AB119+6*AB136+$F$86*(-45*AB102+80*AB119-35*AB136)+$F$86*$F$86*(50*AB102-100*AB119+50*AB136)</f>
        <v>363.44214883342096</v>
      </c>
      <c r="AC153" s="31">
        <f>10*AC102-15*AC119+6*AC136+$F$86*(-45*AC102+80*AC119-35*AC136)+$F$86*$F$86*(50*AC102-100*AC119+50*AC136)</f>
        <v>434.78785028202424</v>
      </c>
      <c r="AD153" s="31">
        <f>10*AD102-15*AD119+6*AD136+$F$86*(-45*AD102+80*AD119-35*AD136)+$F$86*$F$86*(50*AD102-100*AD119+50*AD136)</f>
        <v>576.13652486114995</v>
      </c>
      <c r="AE153" s="31">
        <f>10*AE102-15*AE119+6*AE136+$F$86*(-45*AE102+80*AE119-35*AE136)+$F$86*$F$86*(50*AE102-100*AE119+50*AE136)</f>
        <v>717.44562725781543</v>
      </c>
      <c r="AF153" s="31">
        <f>10*AF102-15*AF119+6*AF136+$F$86*(-45*AF102+80*AF119-35*AF136)+$F$86*$F$86*(50*AF102-100*AF119+50*AF136)</f>
        <v>855.79727040260809</v>
      </c>
      <c r="AG153" s="31">
        <f>10*AG102-15*AG119+6*AG136+$F$86*(-45*AG102+80*AG119-35*AG136)+$F$86*$F$86*(50*AG102-100*AG119+50*AG136)</f>
        <v>991.19145429552759</v>
      </c>
      <c r="AH153" s="31">
        <f>10*AH102-15*AH119+6*AH136+$F$86*(-45*AH102+80*AH119-35*AH136)+$F$86*$F$86*(50*AH102-100*AH119+50*AH136)</f>
        <v>1123.6281789365739</v>
      </c>
      <c r="AI153" s="31">
        <f>10*AI102-15*AI119+6*AI136+$F$86*(-45*AI102+80*AI119-35*AI136)+$F$86*$F$86*(50*AI102-100*AI119+50*AI136)</f>
        <v>1379.6292504630483</v>
      </c>
      <c r="AJ153" s="31">
        <f>10*AJ102-15*AJ119+6*AJ136+$F$86*(-45*AJ102+80*AJ119-35*AJ136)+$F$86*$F$86*(50*AJ102-100*AJ119+50*AJ136)</f>
        <v>1623.8004849820304</v>
      </c>
      <c r="AK153" s="31">
        <f>10*AK102-15*AK119+6*AK136+$F$86*(-45*AK102+80*AK119-35*AK136)+$F$86*$F$86*(50*AK102-100*AK119+50*AK136)</f>
        <v>2062.6578380783249</v>
      </c>
      <c r="AL153" s="31">
        <f>10*AL102-15*AL119+6*AL136+$F$86*(-45*AL102+80*AL119-35*AL136)+$F$86*$F$86*(50*AL102-100*AL119+50*AL136)</f>
        <v>2740.363162780825</v>
      </c>
      <c r="AM153" s="31">
        <f>10*AM102-15*AM119+6*AM136+$F$86*(-45*AM102+80*AM119-35*AM136)+$F$86*$F$86*(50*AM102-100*AM119+50*AM136)</f>
        <v>3415.1884366871154</v>
      </c>
    </row>
    <row r="154" spans="5:39" s="17" customFormat="1" ht="0.95" customHeight="1" x14ac:dyDescent="0.2">
      <c r="F154" s="30">
        <f>R62/(1+X62)</f>
        <v>54.13533834586466</v>
      </c>
      <c r="G154" s="29"/>
      <c r="H154" s="29"/>
      <c r="I154" s="29"/>
      <c r="J154" s="29"/>
      <c r="K154" s="29"/>
      <c r="V154" s="29"/>
      <c r="W154" s="29"/>
      <c r="X154" s="30">
        <f>R62</f>
        <v>72</v>
      </c>
      <c r="Y154" s="29"/>
      <c r="Z154" s="29"/>
      <c r="AA154" s="29"/>
      <c r="AB154" s="29"/>
      <c r="AC154" s="29"/>
    </row>
    <row r="155" spans="5:39" s="17" customFormat="1" ht="0.95" customHeight="1" x14ac:dyDescent="0.2">
      <c r="E155" s="26">
        <v>1</v>
      </c>
      <c r="F155" s="25">
        <f>-0.1*(F138)</f>
        <v>-1.4928090712708426</v>
      </c>
      <c r="G155" s="25"/>
      <c r="H155" s="28"/>
      <c r="I155" s="25"/>
      <c r="J155" s="25"/>
      <c r="K155" s="25"/>
      <c r="L155" s="28"/>
      <c r="M155" s="28"/>
      <c r="N155" s="28"/>
      <c r="O155" s="28"/>
      <c r="P155" s="28"/>
      <c r="Q155" s="28"/>
      <c r="R155" s="28"/>
      <c r="S155" s="28"/>
      <c r="T155" s="28"/>
      <c r="U155" s="28"/>
      <c r="V155" s="26"/>
      <c r="W155" s="26"/>
      <c r="X155" s="25">
        <f>-0.1*(X138)</f>
        <v>-3.1403831375240667</v>
      </c>
      <c r="Y155" s="25"/>
      <c r="Z155" s="28"/>
      <c r="AA155" s="25"/>
      <c r="AB155" s="25"/>
      <c r="AC155" s="25"/>
      <c r="AD155" s="28"/>
      <c r="AE155" s="28"/>
      <c r="AF155" s="28"/>
      <c r="AG155" s="28"/>
      <c r="AH155" s="28"/>
      <c r="AI155" s="28"/>
      <c r="AJ155" s="28"/>
      <c r="AK155" s="28"/>
      <c r="AL155" s="28"/>
      <c r="AM155" s="28"/>
    </row>
    <row r="156" spans="5:39" s="17" customFormat="1" ht="0.95" customHeight="1" x14ac:dyDescent="0.2">
      <c r="E156" s="26">
        <v>2</v>
      </c>
      <c r="F156" s="25">
        <f>-0.1*(F139)</f>
        <v>-1.6228164824384175</v>
      </c>
      <c r="G156" s="25">
        <f>-0.1*(G139-F139)</f>
        <v>-1.5706824341187948</v>
      </c>
      <c r="H156" s="25"/>
      <c r="I156" s="25"/>
      <c r="J156" s="28"/>
      <c r="K156" s="25"/>
      <c r="L156" s="28"/>
      <c r="M156" s="28"/>
      <c r="N156" s="28"/>
      <c r="O156" s="28"/>
      <c r="P156" s="28"/>
      <c r="Q156" s="28"/>
      <c r="R156" s="28"/>
      <c r="S156" s="28"/>
      <c r="T156" s="28"/>
      <c r="U156" s="28"/>
      <c r="W156" s="26"/>
      <c r="X156" s="25">
        <f>-0.1*(X139)</f>
        <v>-3.2711370551464416</v>
      </c>
      <c r="Y156" s="25">
        <f>-0.1*(Y139-X139)</f>
        <v>-3.1758635610850221</v>
      </c>
      <c r="Z156" s="25"/>
      <c r="AA156" s="25"/>
      <c r="AB156" s="28"/>
      <c r="AC156" s="25"/>
      <c r="AD156" s="28"/>
      <c r="AE156" s="28"/>
      <c r="AF156" s="28"/>
      <c r="AG156" s="28"/>
      <c r="AH156" s="28"/>
      <c r="AI156" s="28"/>
      <c r="AJ156" s="28"/>
      <c r="AK156" s="28"/>
      <c r="AL156" s="28"/>
      <c r="AM156" s="28"/>
    </row>
    <row r="157" spans="5:39" s="17" customFormat="1" ht="0.95" customHeight="1" x14ac:dyDescent="0.2">
      <c r="E157" s="26">
        <v>3</v>
      </c>
      <c r="F157" s="25">
        <f>-0.1*(F140)</f>
        <v>-1.7427429966365275</v>
      </c>
      <c r="G157" s="25">
        <f>-0.1*(G140-F140)</f>
        <v>-1.6995599335843927</v>
      </c>
      <c r="H157" s="25">
        <f>-0.1*(H140-G140)</f>
        <v>-1.6263073388103706</v>
      </c>
      <c r="I157" s="25"/>
      <c r="J157" s="25"/>
      <c r="K157" s="25"/>
      <c r="L157" s="28"/>
      <c r="M157" s="28"/>
      <c r="N157" s="28"/>
      <c r="O157" s="28"/>
      <c r="P157" s="28"/>
      <c r="Q157" s="28"/>
      <c r="R157" s="28"/>
      <c r="S157" s="28"/>
      <c r="T157" s="28"/>
      <c r="U157" s="28"/>
      <c r="V157" s="26"/>
      <c r="W157" s="26"/>
      <c r="X157" s="25">
        <f>-0.1*(X140)</f>
        <v>-3.4018909727688165</v>
      </c>
      <c r="Y157" s="25">
        <f>-0.1*(Y140-X140)</f>
        <v>-3.3066174787073983</v>
      </c>
      <c r="Z157" s="25">
        <f>-0.1*(Z140-Y140)</f>
        <v>-3.2113439846459801</v>
      </c>
      <c r="AA157" s="25"/>
      <c r="AB157" s="25"/>
      <c r="AC157" s="25"/>
      <c r="AD157" s="28"/>
      <c r="AE157" s="28"/>
      <c r="AF157" s="28"/>
      <c r="AG157" s="28"/>
      <c r="AH157" s="28"/>
      <c r="AI157" s="28"/>
      <c r="AJ157" s="28"/>
      <c r="AK157" s="28"/>
      <c r="AL157" s="28"/>
      <c r="AM157" s="28"/>
    </row>
    <row r="158" spans="5:39" s="17" customFormat="1" ht="0.95" customHeight="1" x14ac:dyDescent="0.2">
      <c r="E158" s="26">
        <v>4</v>
      </c>
      <c r="F158" s="25">
        <f>-0.1*(F141)</f>
        <v>-1.8555798965018888</v>
      </c>
      <c r="G158" s="25">
        <f>-0.1*(G141-F141)</f>
        <v>-1.813880830524905</v>
      </c>
      <c r="H158" s="25">
        <f>-0.1*(H141-G141)</f>
        <v>-1.7571901572230872</v>
      </c>
      <c r="I158" s="25">
        <f>-0.1*(I141-H141)</f>
        <v>-1.6688711631530766</v>
      </c>
      <c r="J158" s="25"/>
      <c r="K158" s="25"/>
      <c r="L158" s="28"/>
      <c r="M158" s="28"/>
      <c r="N158" s="28"/>
      <c r="O158" s="28"/>
      <c r="P158" s="28"/>
      <c r="Q158" s="28"/>
      <c r="R158" s="28"/>
      <c r="S158" s="28"/>
      <c r="T158" s="28"/>
      <c r="U158" s="28"/>
      <c r="V158" s="27"/>
      <c r="W158" s="26"/>
      <c r="X158" s="25">
        <f>-0.1*(X141)</f>
        <v>-3.5326448903911913</v>
      </c>
      <c r="Y158" s="25">
        <f>-0.1*(Y141-X141)</f>
        <v>-3.4373713963297718</v>
      </c>
      <c r="Z158" s="25">
        <f>-0.1*(Z141-Y141)</f>
        <v>-3.3420979022683555</v>
      </c>
      <c r="AA158" s="25">
        <f>-0.1*(AA141-Z141)</f>
        <v>-3.2468244082069364</v>
      </c>
      <c r="AB158" s="25"/>
      <c r="AC158" s="25"/>
      <c r="AD158" s="28"/>
      <c r="AE158" s="28"/>
      <c r="AF158" s="28"/>
      <c r="AG158" s="28"/>
      <c r="AH158" s="28"/>
      <c r="AI158" s="28"/>
      <c r="AJ158" s="28"/>
      <c r="AK158" s="28"/>
      <c r="AL158" s="28"/>
      <c r="AM158" s="28"/>
    </row>
    <row r="159" spans="5:39" s="17" customFormat="1" ht="0.95" customHeight="1" x14ac:dyDescent="0.2">
      <c r="E159" s="26">
        <v>5</v>
      </c>
      <c r="F159" s="25">
        <f>-0.1*(F142)</f>
        <v>-1.9626011036526358</v>
      </c>
      <c r="G159" s="25">
        <f>-0.1*(G142-F142)</f>
        <v>-1.9203072240738899</v>
      </c>
      <c r="H159" s="25">
        <f>-0.1*(H142-G142)</f>
        <v>-1.8693739264105744</v>
      </c>
      <c r="I159" s="25">
        <f>-0.1*(I142-H142)</f>
        <v>-1.8022650701818124</v>
      </c>
      <c r="J159" s="25">
        <f>-0.1*(J142-I142)</f>
        <v>-1.7017182035727076</v>
      </c>
      <c r="K159" s="25"/>
      <c r="L159" s="28"/>
      <c r="M159" s="28"/>
      <c r="N159" s="28"/>
      <c r="O159" s="28"/>
      <c r="P159" s="28"/>
      <c r="Q159" s="28"/>
      <c r="R159" s="28"/>
      <c r="S159" s="28"/>
      <c r="T159" s="28"/>
      <c r="U159" s="28"/>
      <c r="V159" s="27"/>
      <c r="W159" s="26"/>
      <c r="X159" s="25">
        <f>-0.1*(X142)</f>
        <v>-3.6633988080135662</v>
      </c>
      <c r="Y159" s="25">
        <f>-0.1*(Y142-X142)</f>
        <v>-3.568125313952148</v>
      </c>
      <c r="Z159" s="25">
        <f>-0.1*(Z142-Y142)</f>
        <v>-3.4728518198907299</v>
      </c>
      <c r="AA159" s="25">
        <f>-0.1*(AA142-Z142)</f>
        <v>-3.3775783258293104</v>
      </c>
      <c r="AB159" s="25">
        <f>-0.1*(AB142-AA142)</f>
        <v>-3.282304831767894</v>
      </c>
      <c r="AC159" s="25"/>
      <c r="AD159" s="28"/>
      <c r="AE159" s="28"/>
      <c r="AF159" s="28"/>
      <c r="AG159" s="28"/>
      <c r="AH159" s="28"/>
      <c r="AI159" s="28"/>
      <c r="AJ159" s="28"/>
      <c r="AK159" s="28"/>
      <c r="AL159" s="28"/>
      <c r="AM159" s="28"/>
    </row>
    <row r="160" spans="5:39" s="17" customFormat="1" ht="0.95" customHeight="1" x14ac:dyDescent="0.2">
      <c r="E160" s="26">
        <v>6</v>
      </c>
      <c r="F160" s="25">
        <f>-0.1*(F143)</f>
        <v>-2.0637345291098228</v>
      </c>
      <c r="G160" s="25">
        <f>-0.1*(G143-F143)</f>
        <v>-2.0204139425380592</v>
      </c>
      <c r="H160" s="25">
        <f>-0.1*(H143-G143)</f>
        <v>-1.9716454372504217</v>
      </c>
      <c r="I160" s="25">
        <f>-0.1*(I143-H143)</f>
        <v>-1.9128042737523914</v>
      </c>
      <c r="J160" s="25">
        <f>-0.1*(J143-I143)</f>
        <v>-1.8366368777882203</v>
      </c>
      <c r="K160" s="25">
        <f>-0.1*(K143-J143)</f>
        <v>-1.724828236659667</v>
      </c>
      <c r="L160" s="28"/>
      <c r="M160" s="28"/>
      <c r="N160" s="28"/>
      <c r="O160" s="28"/>
      <c r="P160" s="28"/>
      <c r="Q160" s="28"/>
      <c r="R160" s="28"/>
      <c r="S160" s="28"/>
      <c r="T160" s="28"/>
      <c r="U160" s="28"/>
      <c r="V160" s="27"/>
      <c r="W160" s="26"/>
      <c r="X160" s="25">
        <f>-0.1*(X143)</f>
        <v>-3.7941527256359411</v>
      </c>
      <c r="Y160" s="25">
        <f>-0.1*(Y143-X143)</f>
        <v>-3.6988792315745229</v>
      </c>
      <c r="Z160" s="25">
        <f>-0.1*(Z143-Y143)</f>
        <v>-3.6036057375131025</v>
      </c>
      <c r="AA160" s="25">
        <f>-0.1*(AA143-Z143)</f>
        <v>-3.5083322434516875</v>
      </c>
      <c r="AB160" s="25">
        <f>-0.1*(AB143-AA143)</f>
        <v>-3.4130587493902684</v>
      </c>
      <c r="AC160" s="25">
        <f>-0.1*(AC143-AB143)</f>
        <v>-3.3177852553288489</v>
      </c>
      <c r="AD160" s="28"/>
      <c r="AE160" s="28"/>
      <c r="AF160" s="28"/>
      <c r="AG160" s="28"/>
      <c r="AH160" s="28"/>
      <c r="AI160" s="28"/>
      <c r="AJ160" s="28"/>
      <c r="AK160" s="28"/>
      <c r="AL160" s="28"/>
      <c r="AM160" s="28"/>
    </row>
    <row r="161" spans="5:39" s="17" customFormat="1" ht="0.95" customHeight="1" x14ac:dyDescent="0.2">
      <c r="E161" s="26">
        <v>7</v>
      </c>
      <c r="F161" s="25">
        <f>-0.1*(F144)</f>
        <v>-2.2545203190644862</v>
      </c>
      <c r="G161" s="25">
        <f>-0.1*(G144-F144)</f>
        <v>-2.2092750315078926</v>
      </c>
      <c r="H161" s="25">
        <f>-0.1*(H144-G144)</f>
        <v>-2.1617729925585749</v>
      </c>
      <c r="I161" s="25">
        <f>-0.1*(I144-H144)</f>
        <v>-2.1093231785836934</v>
      </c>
      <c r="J161" s="25">
        <f>-0.1*(J144-I144)</f>
        <v>-2.0494163691955722</v>
      </c>
      <c r="K161" s="25">
        <f>-0.1*(K144-J144)</f>
        <v>-1.9794892031081019</v>
      </c>
      <c r="L161" s="25">
        <f>-0.1*(L144-K144)</f>
        <v>-3.6257899224808741</v>
      </c>
      <c r="M161" s="28"/>
      <c r="N161" s="28"/>
      <c r="O161" s="28"/>
      <c r="P161" s="28"/>
      <c r="Q161" s="28"/>
      <c r="R161" s="28"/>
      <c r="S161" s="28"/>
      <c r="T161" s="28"/>
      <c r="U161" s="28"/>
      <c r="V161" s="27"/>
      <c r="W161" s="26"/>
      <c r="X161" s="25">
        <f>-0.1*(X144)</f>
        <v>-4.0556605608806908</v>
      </c>
      <c r="Y161" s="25">
        <f>-0.1*(Y144-X144)</f>
        <v>-3.9603870668192713</v>
      </c>
      <c r="Z161" s="25">
        <f>-0.1*(Z144-Y144)</f>
        <v>-3.8651135727578549</v>
      </c>
      <c r="AA161" s="25">
        <f>-0.1*(AA144-Z144)</f>
        <v>-3.7698400786964359</v>
      </c>
      <c r="AB161" s="25">
        <f>-0.1*(AB144-AA144)</f>
        <v>-3.6745665846350164</v>
      </c>
      <c r="AC161" s="25">
        <f>-0.1*(AC144-AB144)</f>
        <v>-3.5792930905736</v>
      </c>
      <c r="AD161" s="25">
        <f>-0.1*(AD144-AC144)</f>
        <v>-6.8727656989629455</v>
      </c>
      <c r="AE161" s="28"/>
      <c r="AF161" s="28"/>
      <c r="AG161" s="28"/>
      <c r="AH161" s="28"/>
      <c r="AI161" s="28"/>
      <c r="AJ161" s="28"/>
      <c r="AK161" s="28"/>
      <c r="AL161" s="28"/>
      <c r="AM161" s="28"/>
    </row>
    <row r="162" spans="5:39" s="17" customFormat="1" ht="0.95" customHeight="1" x14ac:dyDescent="0.2">
      <c r="E162" s="26">
        <v>8</v>
      </c>
      <c r="F162" s="25">
        <f>-0.1*(F145)</f>
        <v>-2.4301934671836136</v>
      </c>
      <c r="G162" s="25">
        <f>-0.1*(G145-F145)</f>
        <v>-2.3836509639408576</v>
      </c>
      <c r="H162" s="25">
        <f>-0.1*(H145-G145)</f>
        <v>-2.3361644441676845</v>
      </c>
      <c r="I162" s="25">
        <f>-0.1*(I145-H145)</f>
        <v>-2.2857727211563001</v>
      </c>
      <c r="J162" s="25">
        <f>-0.1*(J145-I145)</f>
        <v>-2.2307257903632975</v>
      </c>
      <c r="K162" s="25">
        <f>-0.1*(K145-J145)</f>
        <v>-2.1693288060330871</v>
      </c>
      <c r="L162" s="25">
        <f>-0.1*(L145-K145)</f>
        <v>-4.112491701727305</v>
      </c>
      <c r="M162" s="25">
        <f>-0.1*(M145-L145)</f>
        <v>-3.6655458849510354</v>
      </c>
      <c r="N162" s="28"/>
      <c r="O162" s="28"/>
      <c r="P162" s="28"/>
      <c r="Q162" s="28"/>
      <c r="R162" s="28"/>
      <c r="S162" s="28"/>
      <c r="T162" s="28"/>
      <c r="U162" s="28"/>
      <c r="V162" s="27"/>
      <c r="W162" s="26"/>
      <c r="X162" s="25">
        <f>-0.1*(X145)</f>
        <v>-4.3171683961254397</v>
      </c>
      <c r="Y162" s="25">
        <f>-0.1*(Y145-X145)</f>
        <v>-4.2218949020640215</v>
      </c>
      <c r="Z162" s="25">
        <f>-0.1*(Z145-Y145)</f>
        <v>-4.1266214080026034</v>
      </c>
      <c r="AA162" s="25">
        <f>-0.1*(AA145-Z145)</f>
        <v>-4.031347913941187</v>
      </c>
      <c r="AB162" s="25">
        <f>-0.1*(AB145-AA145)</f>
        <v>-3.9360744198797648</v>
      </c>
      <c r="AC162" s="25">
        <f>-0.1*(AC145-AB145)</f>
        <v>-3.8408009258183515</v>
      </c>
      <c r="AD162" s="25">
        <f>-0.1*(AD145-AC145)</f>
        <v>-7.395781369452445</v>
      </c>
      <c r="AE162" s="25">
        <f>-0.1*(AE145-AD145)</f>
        <v>-7.0146873932067706</v>
      </c>
      <c r="AF162" s="28"/>
      <c r="AG162" s="28"/>
      <c r="AH162" s="28"/>
      <c r="AI162" s="28"/>
      <c r="AJ162" s="28"/>
      <c r="AK162" s="28"/>
      <c r="AL162" s="28"/>
      <c r="AM162" s="28"/>
    </row>
    <row r="163" spans="5:39" s="17" customFormat="1" ht="0.95" customHeight="1" x14ac:dyDescent="0.2">
      <c r="E163" s="26">
        <v>9</v>
      </c>
      <c r="F163" s="25">
        <f>-0.1*(F146)</f>
        <v>-2.5915332094607666</v>
      </c>
      <c r="G163" s="25">
        <f>-0.1*(G146-F146)</f>
        <v>-2.5442053922642973</v>
      </c>
      <c r="H163" s="25">
        <f>-0.1*(H146-G146)</f>
        <v>-2.4965288079329158</v>
      </c>
      <c r="I163" s="25">
        <f>-0.1*(I146-H146)</f>
        <v>-2.4470429843400185</v>
      </c>
      <c r="J163" s="25">
        <f>-0.1*(J146-I146)</f>
        <v>-2.3944425131680989</v>
      </c>
      <c r="K163" s="25">
        <f>-0.1*(K146-J146)</f>
        <v>-2.3375436931929983</v>
      </c>
      <c r="L163" s="25">
        <f>-0.1*(L146-K146)</f>
        <v>-4.4760550910966401</v>
      </c>
      <c r="M163" s="25">
        <f>-0.1*(M146-L146)</f>
        <v>-4.1573553585002685</v>
      </c>
      <c r="N163" s="25">
        <f>-0.1*(N146-M146)</f>
        <v>-3.6693953763586138</v>
      </c>
      <c r="O163" s="28"/>
      <c r="P163" s="28"/>
      <c r="Q163" s="28"/>
      <c r="R163" s="28"/>
      <c r="S163" s="28"/>
      <c r="T163" s="28"/>
      <c r="U163" s="28"/>
      <c r="V163" s="27"/>
      <c r="W163" s="26"/>
      <c r="X163" s="25">
        <f>-0.1*(X146)</f>
        <v>-4.5786762313701903</v>
      </c>
      <c r="Y163" s="25">
        <f>-0.1*(Y146-X146)</f>
        <v>-4.4834027373087721</v>
      </c>
      <c r="Z163" s="25">
        <f>-0.1*(Z146-Y146)</f>
        <v>-4.3881292432473531</v>
      </c>
      <c r="AA163" s="25">
        <f>-0.1*(AA146-Z146)</f>
        <v>-4.2928557491859323</v>
      </c>
      <c r="AB163" s="25">
        <f>-0.1*(AB146-AA146)</f>
        <v>-4.1975822551245221</v>
      </c>
      <c r="AC163" s="25">
        <f>-0.1*(AC146-AB146)</f>
        <v>-4.1023087610630968</v>
      </c>
      <c r="AD163" s="25">
        <f>-0.1*(AD146-AC146)</f>
        <v>-7.9187970399419445</v>
      </c>
      <c r="AE163" s="25">
        <f>-0.1*(AE146-AD146)</f>
        <v>-7.5377030636962674</v>
      </c>
      <c r="AF163" s="25">
        <f>-0.1*(AF146-AE146)</f>
        <v>-7.1566090874506019</v>
      </c>
      <c r="AG163" s="28"/>
      <c r="AH163" s="28"/>
      <c r="AI163" s="28"/>
      <c r="AJ163" s="28"/>
      <c r="AK163" s="28"/>
      <c r="AL163" s="28"/>
      <c r="AM163" s="28"/>
    </row>
    <row r="164" spans="5:39" s="17" customFormat="1" ht="0.95" customHeight="1" x14ac:dyDescent="0.2">
      <c r="E164" s="26">
        <v>10</v>
      </c>
      <c r="F164" s="25">
        <f>-0.1*(F147)</f>
        <v>-2.7397846650464972</v>
      </c>
      <c r="G164" s="25">
        <f>-0.1*(G147-F147)</f>
        <v>-2.69195710715523</v>
      </c>
      <c r="H164" s="25">
        <f>-0.1*(H147-G147)</f>
        <v>-2.6440444030298043</v>
      </c>
      <c r="I164" s="25">
        <f>-0.1*(I147-H147)</f>
        <v>-2.5949452860039859</v>
      </c>
      <c r="J164" s="25">
        <f>-0.1*(J147-I147)</f>
        <v>-2.5436436105137319</v>
      </c>
      <c r="K164" s="25">
        <f>-0.1*(K147-J147)</f>
        <v>-2.4892221316937198</v>
      </c>
      <c r="L164" s="25">
        <f>-0.1*(L147-K147)</f>
        <v>-4.7947254760238991</v>
      </c>
      <c r="M164" s="25">
        <f>-0.1*(M147-L147)</f>
        <v>-4.5128845436295704</v>
      </c>
      <c r="N164" s="25">
        <f>-0.1*(N147-M147)</f>
        <v>-4.1642294506932442</v>
      </c>
      <c r="O164" s="25">
        <f>-0.1*(O147-N147)</f>
        <v>-3.6420824947798796</v>
      </c>
      <c r="P164" s="28"/>
      <c r="Q164" s="28"/>
      <c r="R164" s="28"/>
      <c r="S164" s="28"/>
      <c r="T164" s="28"/>
      <c r="U164" s="28"/>
      <c r="V164" s="27"/>
      <c r="W164" s="26"/>
      <c r="X164" s="25">
        <f>-0.1*(X147)</f>
        <v>-4.8401840666149401</v>
      </c>
      <c r="Y164" s="25">
        <f>-0.1*(Y147-X147)</f>
        <v>-4.744910572553521</v>
      </c>
      <c r="Z164" s="25">
        <f>-0.1*(Z147-Y147)</f>
        <v>-4.6496370784921055</v>
      </c>
      <c r="AA164" s="25">
        <f>-0.1*(AA147-Z147)</f>
        <v>-4.5543635844306838</v>
      </c>
      <c r="AB164" s="25">
        <f>-0.1*(AB147-AA147)</f>
        <v>-4.4590900903692612</v>
      </c>
      <c r="AC164" s="25">
        <f>-0.1*(AC147-AB147)</f>
        <v>-4.363816596307851</v>
      </c>
      <c r="AD164" s="25">
        <f>-0.1*(AD147-AC147)</f>
        <v>-8.4418127104314404</v>
      </c>
      <c r="AE164" s="25">
        <f>-0.1*(AE147-AD147)</f>
        <v>-8.0607187341857749</v>
      </c>
      <c r="AF164" s="25">
        <f>-0.1*(AF147-AE147)</f>
        <v>-7.6796247579400987</v>
      </c>
      <c r="AG164" s="25">
        <f>-0.1*(AG147-AF147)</f>
        <v>-7.2985307816944331</v>
      </c>
      <c r="AH164" s="28"/>
      <c r="AI164" s="28"/>
      <c r="AJ164" s="28"/>
      <c r="AK164" s="28"/>
      <c r="AL164" s="28"/>
      <c r="AM164" s="28"/>
    </row>
    <row r="165" spans="5:39" s="17" customFormat="1" ht="0.95" customHeight="1" x14ac:dyDescent="0.2">
      <c r="E165" s="26">
        <v>11</v>
      </c>
      <c r="F165" s="25">
        <f>-0.1*(F148)</f>
        <v>-2.8740695227982815</v>
      </c>
      <c r="G165" s="25">
        <f>-0.1*(G148-F148)</f>
        <v>-2.8259191941251247</v>
      </c>
      <c r="H165" s="25">
        <f>-0.1*(H148-G148)</f>
        <v>-2.7777909644933461</v>
      </c>
      <c r="I165" s="25">
        <f>-0.1*(I148-H148)</f>
        <v>-2.7288387922567612</v>
      </c>
      <c r="J165" s="25">
        <f>-0.1*(J148-I148)</f>
        <v>-2.6782415937170185</v>
      </c>
      <c r="K165" s="25">
        <f>-0.1*(K148-J148)</f>
        <v>-2.6252667042548978</v>
      </c>
      <c r="L165" s="25">
        <f>-0.1*(L148-K148)</f>
        <v>-5.0758418884798466</v>
      </c>
      <c r="M165" s="25">
        <f>-0.1*(M148-L148)</f>
        <v>-4.8153027874167265</v>
      </c>
      <c r="N165" s="25">
        <f>-0.1*(N148-M148)</f>
        <v>-4.5071082821219646</v>
      </c>
      <c r="O165" s="25">
        <f>-0.1*(O148-N148)</f>
        <v>-4.1306059723093203</v>
      </c>
      <c r="P165" s="25">
        <f>-0.1*(P148-O148)</f>
        <v>-3.5744679826941024</v>
      </c>
      <c r="Q165" s="28"/>
      <c r="R165" s="28"/>
      <c r="S165" s="28"/>
      <c r="T165" s="28"/>
      <c r="U165" s="28"/>
      <c r="V165" s="27"/>
      <c r="W165" s="26"/>
      <c r="X165" s="25">
        <f>-0.1*(X148)</f>
        <v>-5.1016919018596889</v>
      </c>
      <c r="Y165" s="25">
        <f>-0.1*(Y148-X148)</f>
        <v>-5.0064184077982725</v>
      </c>
      <c r="Z165" s="25">
        <f>-0.1*(Z148-Y148)</f>
        <v>-4.9111449137368499</v>
      </c>
      <c r="AA165" s="25">
        <f>-0.1*(AA148-Z148)</f>
        <v>-4.8158714196754318</v>
      </c>
      <c r="AB165" s="25">
        <f>-0.1*(AB148-AA148)</f>
        <v>-4.7205979256140216</v>
      </c>
      <c r="AC165" s="25">
        <f>-0.1*(AC148-AB148)</f>
        <v>-4.625324431552599</v>
      </c>
      <c r="AD165" s="25">
        <f>-0.1*(AD148-AC148)</f>
        <v>-8.9648283809209435</v>
      </c>
      <c r="AE165" s="25">
        <f>-0.1*(AE148-AD148)</f>
        <v>-8.5837344046752673</v>
      </c>
      <c r="AF165" s="25">
        <f>-0.1*(AF148-AE148)</f>
        <v>-8.2026404284295946</v>
      </c>
      <c r="AG165" s="25">
        <f>-0.1*(AG148-AF148)</f>
        <v>-7.82154645218393</v>
      </c>
      <c r="AH165" s="25">
        <f>-0.1*(AH148-AG148)</f>
        <v>-7.4404524759382529</v>
      </c>
      <c r="AI165" s="28"/>
      <c r="AJ165" s="28"/>
      <c r="AK165" s="28"/>
      <c r="AL165" s="28"/>
      <c r="AM165" s="28"/>
    </row>
    <row r="166" spans="5:39" s="17" customFormat="1" ht="0.95" customHeight="1" x14ac:dyDescent="0.2">
      <c r="E166" s="26">
        <v>12</v>
      </c>
      <c r="F166" s="25">
        <f>-0.1*(F149)</f>
        <v>-3.1162156815584456</v>
      </c>
      <c r="G166" s="25">
        <f>-0.1*(G149-F149)</f>
        <v>-3.0676148979016618</v>
      </c>
      <c r="H166" s="25">
        <f>-0.1*(H149-G149)</f>
        <v>-3.0190778634963693</v>
      </c>
      <c r="I166" s="25">
        <f>-0.1*(I149-H149)</f>
        <v>-2.9700914037067268</v>
      </c>
      <c r="J166" s="25">
        <f>-0.1*(J149-I149)</f>
        <v>-2.9201100356521126</v>
      </c>
      <c r="K166" s="25">
        <f>-0.1*(K149-J149)</f>
        <v>-2.8686101351861626</v>
      </c>
      <c r="L166" s="25">
        <f>-0.1*(L149-K149)</f>
        <v>-5.5725112308476925</v>
      </c>
      <c r="M166" s="25">
        <f>-0.1*(M149-L149)</f>
        <v>-5.3353127856986591</v>
      </c>
      <c r="N166" s="25">
        <f>-0.1*(N149-M149)</f>
        <v>-5.0694292950066941</v>
      </c>
      <c r="O166" s="25">
        <f>-0.1*(O149-N149)</f>
        <v>-4.7667243807508273</v>
      </c>
      <c r="P166" s="25">
        <f>-0.1*(P149-O149)</f>
        <v>-4.430467959671887</v>
      </c>
      <c r="Q166" s="25">
        <f>-0.1*(Q149-P149)</f>
        <v>-7.3211950463403817</v>
      </c>
      <c r="R166" s="28"/>
      <c r="S166" s="28"/>
      <c r="T166" s="28"/>
      <c r="U166" s="28"/>
      <c r="V166" s="27"/>
      <c r="W166" s="26"/>
      <c r="X166" s="25">
        <f>-0.1*(X149)</f>
        <v>-5.335607156213122</v>
      </c>
      <c r="Y166" s="25">
        <f>-0.1*(Y149-X149)</f>
        <v>-5.2758049292943108</v>
      </c>
      <c r="Z166" s="25">
        <f>-0.1*(Z149-Y149)</f>
        <v>-5.2160027023755067</v>
      </c>
      <c r="AA166" s="25">
        <f>-0.1*(AA149-Z149)</f>
        <v>-5.1562004754566946</v>
      </c>
      <c r="AB166" s="25">
        <f>-0.1*(AB149-AA149)</f>
        <v>-5.0963982485378869</v>
      </c>
      <c r="AC166" s="25">
        <f>-0.1*(AC149-AB149)</f>
        <v>-5.0365960216190793</v>
      </c>
      <c r="AD166" s="25">
        <f>-0.1*(AD149-AC149)</f>
        <v>-9.8937853624817365</v>
      </c>
      <c r="AE166" s="25">
        <f>-0.1*(AE149-AD149)</f>
        <v>-10.158083968990235</v>
      </c>
      <c r="AF166" s="25">
        <f>-0.1*(AF149-AE149)</f>
        <v>-9.2840559730073036</v>
      </c>
      <c r="AG166" s="25">
        <f>-0.1*(AG149-AF149)</f>
        <v>-8.7399299392982357</v>
      </c>
      <c r="AH166" s="25">
        <f>-0.1*(AH149-AG149)</f>
        <v>-8.1958039055891732</v>
      </c>
      <c r="AI166" s="25">
        <f>-0.1*(AI149-AH149)</f>
        <v>-14.759229710051159</v>
      </c>
      <c r="AJ166" s="28"/>
      <c r="AK166" s="28"/>
      <c r="AL166" s="28"/>
      <c r="AM166" s="28"/>
    </row>
    <row r="167" spans="5:39" s="17" customFormat="1" ht="0.95" customHeight="1" x14ac:dyDescent="0.2">
      <c r="E167" s="26">
        <v>13</v>
      </c>
      <c r="F167" s="25">
        <f>-0.1*(F150)</f>
        <v>-3.3249464274646758</v>
      </c>
      <c r="G167" s="25">
        <f>-0.1*(G150-F150)</f>
        <v>-3.2759728267240038</v>
      </c>
      <c r="H167" s="25">
        <f>-0.1*(H150-G150)</f>
        <v>-3.2270161155822707</v>
      </c>
      <c r="I167" s="25">
        <f>-0.1*(I150-H150)</f>
        <v>-3.1777526664507492</v>
      </c>
      <c r="J167" s="25">
        <f>-0.1*(J150-I150)</f>
        <v>-3.1277883458067324</v>
      </c>
      <c r="K167" s="25">
        <f>-0.1*(K150-J150)</f>
        <v>-3.0767351686345652</v>
      </c>
      <c r="L167" s="25">
        <f>-0.1*(L150-K150)</f>
        <v>-5.992891006256662</v>
      </c>
      <c r="M167" s="25">
        <f>-0.1*(M150-L150)</f>
        <v>-5.7660850064505782</v>
      </c>
      <c r="N167" s="25">
        <f>-0.1*(N150-M150)</f>
        <v>-5.5190025632818562</v>
      </c>
      <c r="O167" s="25">
        <f>-0.1*(O150-N150)</f>
        <v>-5.2473738750105561</v>
      </c>
      <c r="P167" s="25">
        <f>-0.1*(P150-O150)</f>
        <v>-4.945819709587977</v>
      </c>
      <c r="Q167" s="25">
        <f>-0.1*(Q150-P150)</f>
        <v>-8.8357861420411616</v>
      </c>
      <c r="R167" s="25">
        <f>-0.1*(R150-Q150)</f>
        <v>-6.8745473512935185</v>
      </c>
      <c r="S167" s="28"/>
      <c r="T167" s="28"/>
      <c r="U167" s="28"/>
      <c r="V167" s="27"/>
      <c r="W167" s="26"/>
      <c r="X167" s="25">
        <f>-0.1*(X150)</f>
        <v>-5.6831791892126162</v>
      </c>
      <c r="Y167" s="25">
        <f>-0.1*(Y150-X150)</f>
        <v>-5.6263748641089704</v>
      </c>
      <c r="Z167" s="25">
        <f>-0.1*(Z150-Y150)</f>
        <v>-5.5695705390053263</v>
      </c>
      <c r="AA167" s="25">
        <f>-0.1*(AA150-Z150)</f>
        <v>-5.5127662139016769</v>
      </c>
      <c r="AB167" s="25">
        <f>-0.1*(AB150-AA150)</f>
        <v>-5.4559618887980434</v>
      </c>
      <c r="AC167" s="25">
        <f>-0.1*(AC150-AB150)</f>
        <v>-5.3991575636943825</v>
      </c>
      <c r="AD167" s="25">
        <f>-0.1*(AD150-AC150)</f>
        <v>-10.62790215207785</v>
      </c>
      <c r="AE167" s="25">
        <f>-0.1*(AE150-AD150)</f>
        <v>-10.828081522562384</v>
      </c>
      <c r="AF167" s="25">
        <f>-0.1*(AF150-AE150)</f>
        <v>-10.283955488853326</v>
      </c>
      <c r="AG167" s="25">
        <f>-0.1*(AG150-AF150)</f>
        <v>-9.7398294551442408</v>
      </c>
      <c r="AH167" s="25">
        <f>-0.1*(AH150-AG150)</f>
        <v>-9.1957034214352014</v>
      </c>
      <c r="AI167" s="25">
        <f>-0.1*(AI150-AH150)</f>
        <v>-16.759028741743148</v>
      </c>
      <c r="AJ167" s="25">
        <f>-0.1*(AJ150-AI150)</f>
        <v>-14.582524606906919</v>
      </c>
      <c r="AK167" s="28"/>
      <c r="AL167" s="28"/>
      <c r="AM167" s="28"/>
    </row>
    <row r="168" spans="5:39" s="17" customFormat="1" ht="0.95" customHeight="1" x14ac:dyDescent="0.2">
      <c r="E168" s="26">
        <v>14</v>
      </c>
      <c r="F168" s="25">
        <f>-0.1*(F151)</f>
        <v>-3.6516073854627962</v>
      </c>
      <c r="G168" s="25">
        <f>-0.1*(G151-F151)</f>
        <v>-3.6021120879689619</v>
      </c>
      <c r="H168" s="25">
        <f>-0.1*(H151-G151)</f>
        <v>-3.5525239847670975</v>
      </c>
      <c r="I168" s="25">
        <f>-0.1*(I151-H151)</f>
        <v>-3.5026979659522284</v>
      </c>
      <c r="J168" s="25">
        <f>-0.1*(J151-I151)</f>
        <v>-3.4523892718498019</v>
      </c>
      <c r="K168" s="25">
        <f>-0.1*(K151-J151)</f>
        <v>-3.4013464282626558</v>
      </c>
      <c r="L168" s="25">
        <f>-0.1*(L151-K151)</f>
        <v>-6.6445383247155867</v>
      </c>
      <c r="M168" s="25">
        <f>-0.1*(M151-L151)</f>
        <v>-6.4251761848767961</v>
      </c>
      <c r="N168" s="25">
        <f>-0.1*(N151-M151)</f>
        <v>-6.1925807773086268</v>
      </c>
      <c r="O168" s="25">
        <f>-0.1*(O151-N151)</f>
        <v>-5.9446745767458431</v>
      </c>
      <c r="P168" s="25">
        <f>-0.1*(P151-O151)</f>
        <v>-5.6804712881898469</v>
      </c>
      <c r="Q168" s="25">
        <f>-0.1*(Q151-P151)</f>
        <v>-10.480758427281899</v>
      </c>
      <c r="R168" s="25">
        <f>-0.1*(R151-Q151)</f>
        <v>-9.1776280999309172</v>
      </c>
      <c r="S168" s="25">
        <f>-0.1*(S151-R151)</f>
        <v>-13.413727824823765</v>
      </c>
      <c r="T168" s="28"/>
      <c r="U168" s="28"/>
      <c r="V168" s="27"/>
      <c r="W168" s="26"/>
      <c r="X168" s="25">
        <f>-0.1*(X151)</f>
        <v>-6.2138255595737233</v>
      </c>
      <c r="Y168" s="25">
        <f>-0.1*(Y151-X151)</f>
        <v>-6.165436772633309</v>
      </c>
      <c r="Z168" s="25">
        <f>-0.1*(Z151-Y151)</f>
        <v>-6.1170479856928894</v>
      </c>
      <c r="AA168" s="25">
        <f>-0.1*(AA151-Z151)</f>
        <v>-6.0686591987524823</v>
      </c>
      <c r="AB168" s="25">
        <f>-0.1*(AB151-AA151)</f>
        <v>-6.0202704118120636</v>
      </c>
      <c r="AC168" s="25">
        <f>-0.1*(AC151-AB151)</f>
        <v>-5.9718816248716458</v>
      </c>
      <c r="AD168" s="25">
        <f>-0.1*(AD151-AC151)</f>
        <v>-11.798596888922056</v>
      </c>
      <c r="AE168" s="25">
        <f>-0.1*(AE151-AD151)</f>
        <v>-11.725433067370041</v>
      </c>
      <c r="AF168" s="25">
        <f>-0.1*(AF151-AE151)</f>
        <v>-11.361851295060831</v>
      </c>
      <c r="AG168" s="25">
        <f>-0.1*(AG151-AF151)</f>
        <v>-10.998269522751617</v>
      </c>
      <c r="AH168" s="25">
        <f>-0.1*(AH151-AG151)</f>
        <v>-10.634687750442403</v>
      </c>
      <c r="AI168" s="25">
        <f>-0.1*(AI151-AH151)</f>
        <v>-20.178630183957161</v>
      </c>
      <c r="AJ168" s="25">
        <f>-0.1*(AJ151-AI151)</f>
        <v>-18.724303094720312</v>
      </c>
      <c r="AK168" s="25">
        <f>-0.1*(AK151-AJ151)</f>
        <v>-29.074787752466001</v>
      </c>
      <c r="AL168" s="28"/>
      <c r="AM168" s="28"/>
    </row>
    <row r="169" spans="5:39" s="17" customFormat="1" ht="0.95" customHeight="1" x14ac:dyDescent="0.2">
      <c r="E169" s="26">
        <v>15</v>
      </c>
      <c r="F169" s="25">
        <f>-0.1*(F152)</f>
        <v>-4.0429223854435907</v>
      </c>
      <c r="G169" s="25">
        <f>-0.1*(G152-F152)</f>
        <v>-3.9926406966141901</v>
      </c>
      <c r="H169" s="25">
        <f>-0.1*(H152-G152)</f>
        <v>-3.9421546032638393</v>
      </c>
      <c r="I169" s="25">
        <f>-0.1*(I152-H152)</f>
        <v>-3.8914139258155842</v>
      </c>
      <c r="J169" s="25">
        <f>-0.1*(J152-I152)</f>
        <v>-3.8402654174730344</v>
      </c>
      <c r="K169" s="25">
        <f>-0.1*(K152-J152)</f>
        <v>-3.7885433707423206</v>
      </c>
      <c r="L169" s="25">
        <f>-0.1*(L152-K152)</f>
        <v>-7.4181059422210982</v>
      </c>
      <c r="M169" s="25">
        <f>-0.1*(M152-L152)</f>
        <v>-7.1998488222247152</v>
      </c>
      <c r="N169" s="25">
        <f>-0.1*(N152-M152)</f>
        <v>-6.9720360344191139</v>
      </c>
      <c r="O169" s="25">
        <f>-0.1*(O152-N152)</f>
        <v>-6.7335144975348165</v>
      </c>
      <c r="P169" s="25">
        <f>-0.1*(P152-O152)</f>
        <v>-6.4841781978058179</v>
      </c>
      <c r="Q169" s="25">
        <f>-0.1*(Q152-P152)</f>
        <v>-12.166853586802336</v>
      </c>
      <c r="R169" s="25">
        <f>-0.1*(R152-Q152)</f>
        <v>-11.03829050891825</v>
      </c>
      <c r="S169" s="25">
        <f>-0.1*(S152-R152)</f>
        <v>-18.468101781364613</v>
      </c>
      <c r="T169" s="25">
        <f>-0.1*(T152-S152)</f>
        <v>-21.421883464467875</v>
      </c>
      <c r="U169" s="28"/>
      <c r="V169" s="27"/>
      <c r="W169" s="26"/>
      <c r="X169" s="25">
        <f>-0.1*(X152)</f>
        <v>-6.8810777487969066</v>
      </c>
      <c r="Y169" s="25">
        <f>-0.1*(Y152-X152)</f>
        <v>-6.836320138194214</v>
      </c>
      <c r="Z169" s="25">
        <f>-0.1*(Z152-Y152)</f>
        <v>-6.7915625275915126</v>
      </c>
      <c r="AA169" s="25">
        <f>-0.1*(AA152-Z152)</f>
        <v>-6.7468049169888138</v>
      </c>
      <c r="AB169" s="25">
        <f>-0.1*(AB152-AA152)</f>
        <v>-6.7020473063861239</v>
      </c>
      <c r="AC169" s="25">
        <f>-0.1*(AC152-AB152)</f>
        <v>-6.6572896957834189</v>
      </c>
      <c r="AD169" s="25">
        <f>-0.1*(AD152-AC152)</f>
        <v>-13.180306559758771</v>
      </c>
      <c r="AE169" s="25">
        <f>-0.1*(AE152-AD152)</f>
        <v>-13.153453305552</v>
      </c>
      <c r="AF169" s="25">
        <f>-0.1*(AF152-AE152)</f>
        <v>-12.834238856736215</v>
      </c>
      <c r="AG169" s="25">
        <f>-0.1*(AG152-AF152)</f>
        <v>-12.515024407920386</v>
      </c>
      <c r="AH169" s="25">
        <f>-0.1*(AH152-AG152)</f>
        <v>-12.195809959104601</v>
      </c>
      <c r="AI169" s="25">
        <f>-0.1*(AI152-AH152)</f>
        <v>-23.433976571761743</v>
      </c>
      <c r="AJ169" s="25">
        <f>-0.1*(AJ152-AI152)</f>
        <v>-22.157118776498535</v>
      </c>
      <c r="AK169" s="25">
        <f>-0.1*(AK152-AJ152)</f>
        <v>-38.808753799925512</v>
      </c>
      <c r="AL169" s="25">
        <f>-0.1*(AL152-AK152)</f>
        <v>-52.98553842170827</v>
      </c>
      <c r="AM169" s="28"/>
    </row>
    <row r="170" spans="5:39" s="17" customFormat="1" ht="0.95" customHeight="1" x14ac:dyDescent="0.2">
      <c r="E170" s="26">
        <v>16</v>
      </c>
      <c r="F170" s="25">
        <f>-0.1*(F153)</f>
        <v>-4.3158168527992613</v>
      </c>
      <c r="G170" s="25">
        <f>-0.1*(G153-F153)</f>
        <v>-4.2644871900998593</v>
      </c>
      <c r="H170" s="25">
        <f>-0.1*(H153-G153)</f>
        <v>-4.2128981371795478</v>
      </c>
      <c r="I170" s="25">
        <f>-0.1*(I153-H153)</f>
        <v>-4.1610265239903699</v>
      </c>
      <c r="J170" s="25">
        <f>-0.1*(J153-I153)</f>
        <v>-4.1087497405873767</v>
      </c>
      <c r="K170" s="25">
        <f>-0.1*(K153-J153)</f>
        <v>-4.0559266603370023</v>
      </c>
      <c r="L170" s="25">
        <f>-0.1*(L153-K153)</f>
        <v>-7.9498487502012836</v>
      </c>
      <c r="M170" s="25">
        <f>-0.1*(M153-L153)</f>
        <v>-7.7281298176819746</v>
      </c>
      <c r="N170" s="25">
        <f>-0.1*(N153-M153)</f>
        <v>-7.4978537328676342</v>
      </c>
      <c r="O170" s="25">
        <f>-0.1*(O153-N153)</f>
        <v>-7.2581249608308553</v>
      </c>
      <c r="P170" s="25">
        <f>-0.1*(P153-O153)</f>
        <v>-7.0090612752244628</v>
      </c>
      <c r="Q170" s="25">
        <f>-0.1*(Q153-P153)</f>
        <v>-13.225971314827802</v>
      </c>
      <c r="R170" s="25">
        <f>-0.1*(R153-Q153)</f>
        <v>-12.123227103528984</v>
      </c>
      <c r="S170" s="25">
        <f>-0.1*(S153-R153)</f>
        <v>-20.80705309503783</v>
      </c>
      <c r="T170" s="25">
        <f>-0.1*(T153-S153)</f>
        <v>-28.344345480626771</v>
      </c>
      <c r="U170" s="25">
        <f>-0.1*(U153-T153)</f>
        <v>-17.657237633654564</v>
      </c>
      <c r="V170" s="27"/>
      <c r="W170" s="26"/>
      <c r="X170" s="25">
        <f>-0.1*(X153)</f>
        <v>-7.3583581978738124</v>
      </c>
      <c r="Y170" s="25">
        <f>-0.1*(Y153-X153)</f>
        <v>-7.3136005872711172</v>
      </c>
      <c r="Z170" s="25">
        <f>-0.1*(Z153-Y153)</f>
        <v>-7.2688429766684157</v>
      </c>
      <c r="AA170" s="25">
        <f>-0.1*(AA153-Z153)</f>
        <v>-7.2240853660657258</v>
      </c>
      <c r="AB170" s="25">
        <f>-0.1*(AB153-AA153)</f>
        <v>-7.179327755463027</v>
      </c>
      <c r="AC170" s="25">
        <f>-0.1*(AC153-AB153)</f>
        <v>-7.1345701448603283</v>
      </c>
      <c r="AD170" s="25">
        <f>-0.1*(AD153-AC153)</f>
        <v>-14.134867457912572</v>
      </c>
      <c r="AE170" s="25">
        <f>-0.1*(AE153-AD153)</f>
        <v>-14.130910239666548</v>
      </c>
      <c r="AF170" s="25">
        <f>-0.1*(AF153-AE153)</f>
        <v>-13.835164314479266</v>
      </c>
      <c r="AG170" s="25">
        <f>-0.1*(AG153-AF153)</f>
        <v>-13.539418389291951</v>
      </c>
      <c r="AH170" s="25">
        <f>-0.1*(AH153-AG153)</f>
        <v>-13.243672464104634</v>
      </c>
      <c r="AI170" s="25">
        <f>-0.1*(AI153-AH153)</f>
        <v>-25.600107152647436</v>
      </c>
      <c r="AJ170" s="25">
        <f>-0.1*(AJ153-AI153)</f>
        <v>-24.417123451898217</v>
      </c>
      <c r="AK170" s="25">
        <f>-0.1*(AK153-AJ153)</f>
        <v>-43.885735309629446</v>
      </c>
      <c r="AL170" s="25">
        <f>-0.1*(AL153-AK153)</f>
        <v>-67.770532470250018</v>
      </c>
      <c r="AM170" s="25">
        <f>-0.1*(AM153-AL153)</f>
        <v>-67.482527390629045</v>
      </c>
    </row>
    <row r="171" spans="5:39" s="17" customFormat="1" ht="0.95" customHeight="1" x14ac:dyDescent="0.2">
      <c r="F171" s="27"/>
      <c r="G171" s="27"/>
      <c r="H171" s="27"/>
      <c r="I171" s="27" t="s">
        <v>108</v>
      </c>
      <c r="J171" s="27" t="s">
        <v>107</v>
      </c>
      <c r="K171" s="27" t="s">
        <v>106</v>
      </c>
      <c r="L171" s="27" t="s">
        <v>80</v>
      </c>
      <c r="M171" s="27" t="s">
        <v>81</v>
      </c>
      <c r="N171" s="27" t="s">
        <v>105</v>
      </c>
      <c r="V171" s="27"/>
      <c r="W171" s="26"/>
      <c r="X171" s="27"/>
      <c r="Y171" s="27"/>
      <c r="Z171" s="27"/>
      <c r="AA171" s="27"/>
      <c r="AB171" s="27"/>
      <c r="AC171" s="27"/>
    </row>
    <row r="172" spans="5:39" s="17" customFormat="1" ht="0.95" customHeight="1" x14ac:dyDescent="0.2">
      <c r="E172" s="26">
        <v>1</v>
      </c>
      <c r="F172" s="26">
        <f>F$154*B87</f>
        <v>460.1503759398496</v>
      </c>
      <c r="G172" s="26">
        <f>X$154*C87</f>
        <v>72</v>
      </c>
      <c r="H172" s="26">
        <f>X$154*D87</f>
        <v>108</v>
      </c>
      <c r="I172" s="26">
        <f>F172/F155</f>
        <v>-308.24462739104285</v>
      </c>
      <c r="J172" s="26">
        <f>G172/X155</f>
        <v>-22.927138774782133</v>
      </c>
      <c r="K172" s="26">
        <f>H172/X155</f>
        <v>-34.390708162173198</v>
      </c>
      <c r="L172" s="25">
        <f>I172-J172</f>
        <v>-285.31748861626073</v>
      </c>
      <c r="M172" s="25">
        <f>I172+J172</f>
        <v>-331.17176616582498</v>
      </c>
      <c r="N172" s="24">
        <f>ATAN(K172/(J172+0.000001))*90/3.14159</f>
        <v>28.154990595214251</v>
      </c>
      <c r="V172" s="26"/>
      <c r="W172" s="26"/>
      <c r="X172" s="26">
        <v>11</v>
      </c>
      <c r="Y172" s="26"/>
      <c r="Z172" s="26"/>
      <c r="AA172" s="26"/>
      <c r="AB172" s="26"/>
      <c r="AC172" s="23"/>
    </row>
    <row r="173" spans="5:39" s="17" customFormat="1" ht="0.95" customHeight="1" x14ac:dyDescent="0.2">
      <c r="E173" s="26">
        <v>2</v>
      </c>
      <c r="F173" s="26">
        <f>F$154*B88</f>
        <v>981.20300751879699</v>
      </c>
      <c r="G173" s="26">
        <f>X$154*C88</f>
        <v>153</v>
      </c>
      <c r="H173" s="26">
        <f>X$154*D88</f>
        <v>171</v>
      </c>
      <c r="I173" s="26">
        <f>(F173-I172*F156)/G156</f>
        <v>-306.22265527236834</v>
      </c>
      <c r="J173" s="26">
        <f>(G173-J172*X156)/Y156</f>
        <v>-24.560937611147317</v>
      </c>
      <c r="K173" s="26">
        <f>(H173-K172*X156)/Y156</f>
        <v>-18.421219631362451</v>
      </c>
      <c r="L173" s="25">
        <f>I173-J173</f>
        <v>-281.66171766122102</v>
      </c>
      <c r="M173" s="25">
        <f>I173+J173</f>
        <v>-330.78359288351567</v>
      </c>
      <c r="N173" s="24">
        <f>ATAN(K173/(J173+0.000001))*90/3.14159</f>
        <v>18.435350458450742</v>
      </c>
      <c r="V173" s="26"/>
      <c r="W173" s="26"/>
      <c r="X173" s="26">
        <v>21</v>
      </c>
      <c r="Y173" s="26">
        <v>22</v>
      </c>
      <c r="Z173" s="26"/>
      <c r="AA173" s="26" t="s">
        <v>104</v>
      </c>
      <c r="AB173" s="26"/>
      <c r="AC173" s="23"/>
    </row>
    <row r="174" spans="5:39" s="17" customFormat="1" ht="0.95" customHeight="1" x14ac:dyDescent="0.2">
      <c r="E174" s="26">
        <v>3</v>
      </c>
      <c r="F174" s="26">
        <f>F$154*B89</f>
        <v>1536.0902255639098</v>
      </c>
      <c r="G174" s="26">
        <f>X$154*C89</f>
        <v>261</v>
      </c>
      <c r="H174" s="26">
        <f>X$154*D89</f>
        <v>243</v>
      </c>
      <c r="I174" s="26">
        <f>(F174-I172*F157-I173*G157)/H157</f>
        <v>-294.19734686838285</v>
      </c>
      <c r="J174" s="26">
        <f>(G174-J172*X157-J173*Y157)/Z157</f>
        <v>-31.697242169904314</v>
      </c>
      <c r="K174" s="26">
        <f>(H174-K172*X157-K173*Y157)/Z157</f>
        <v>-20.270215166931504</v>
      </c>
      <c r="L174" s="25">
        <f>I174-J174</f>
        <v>-262.50010469847854</v>
      </c>
      <c r="M174" s="25">
        <f>I174+J174</f>
        <v>-325.89458903828717</v>
      </c>
      <c r="N174" s="24">
        <f>ATAN(K174/(J174+0.000001))*90/3.14159</f>
        <v>16.299361878026811</v>
      </c>
      <c r="V174" s="26"/>
      <c r="W174" s="26"/>
      <c r="X174" s="26">
        <v>31</v>
      </c>
      <c r="Y174" s="26">
        <v>32</v>
      </c>
      <c r="Z174" s="26">
        <v>33</v>
      </c>
      <c r="AA174" s="26"/>
      <c r="AB174" s="26"/>
      <c r="AC174" s="23"/>
    </row>
    <row r="175" spans="5:39" s="17" customFormat="1" ht="0.95" customHeight="1" x14ac:dyDescent="0.2">
      <c r="E175" s="26">
        <v>4</v>
      </c>
      <c r="F175" s="26">
        <f>F$154*B90</f>
        <v>2124.812030075188</v>
      </c>
      <c r="G175" s="26">
        <f>X$154*C90</f>
        <v>360</v>
      </c>
      <c r="H175" s="26">
        <f>X$154*D90</f>
        <v>306</v>
      </c>
      <c r="I175" s="26">
        <f>(F175-I172*F158-I173*G158-I174*H158)/I158</f>
        <v>-287.87567334239577</v>
      </c>
      <c r="J175" s="26">
        <f>(G175-J172*X158-J173*Y158-J174*Z158)/AA158</f>
        <v>-27.302434081923145</v>
      </c>
      <c r="K175" s="26">
        <f>(H175-K172*X158-K173*Y158-K174*Z158)/AA158</f>
        <v>-16.460460062019532</v>
      </c>
      <c r="L175" s="25">
        <f>I175-J175</f>
        <v>-260.57323926047263</v>
      </c>
      <c r="M175" s="25">
        <f>I175+J175</f>
        <v>-315.17810742431891</v>
      </c>
      <c r="N175" s="24">
        <f>ATAN(K175/(J175+0.000001))*90/3.14159</f>
        <v>15.542764567196114</v>
      </c>
      <c r="V175" s="26"/>
      <c r="W175" s="26"/>
      <c r="X175" s="26">
        <v>41</v>
      </c>
      <c r="Y175" s="26">
        <v>42</v>
      </c>
      <c r="Z175" s="26">
        <v>43</v>
      </c>
      <c r="AA175" s="26">
        <v>44</v>
      </c>
      <c r="AB175" s="26"/>
      <c r="AC175" s="23"/>
    </row>
    <row r="176" spans="5:39" s="17" customFormat="1" ht="0.95" customHeight="1" x14ac:dyDescent="0.2">
      <c r="E176" s="26">
        <v>5</v>
      </c>
      <c r="F176" s="26">
        <f>F$154*B91</f>
        <v>2801.5037593984962</v>
      </c>
      <c r="G176" s="26">
        <f>X$154*C91</f>
        <v>414</v>
      </c>
      <c r="H176" s="26">
        <f>X$154*D91</f>
        <v>342</v>
      </c>
      <c r="I176" s="26">
        <f>(F176-I172*F159-I173*G159-I174*H159-I175*I159)/J159</f>
        <v>-317.15463534628117</v>
      </c>
      <c r="J176" s="26">
        <f>(G176-J172*X159-J173*Y159-J174*Z159-J175*AA159)/AB159</f>
        <v>-12.209807198871667</v>
      </c>
      <c r="K176" s="26">
        <f>(H176-K172*X159-K173*Y159-K174*Z159-K175*AA159)/AB159</f>
        <v>-7.4008829483460268</v>
      </c>
      <c r="L176" s="25">
        <f>I176-J176</f>
        <v>-304.94482814740951</v>
      </c>
      <c r="M176" s="25">
        <f>I176+J176</f>
        <v>-329.36444254515283</v>
      </c>
      <c r="N176" s="24">
        <f>ATAN(K176/(J176+0.000001))*90/3.14159</f>
        <v>15.61093119742176</v>
      </c>
      <c r="V176" s="26"/>
      <c r="W176" s="26"/>
      <c r="X176" s="26">
        <v>51</v>
      </c>
      <c r="Y176" s="26">
        <v>52</v>
      </c>
      <c r="Z176" s="26">
        <v>53</v>
      </c>
      <c r="AA176" s="26">
        <v>54</v>
      </c>
      <c r="AB176" s="26">
        <v>55</v>
      </c>
      <c r="AC176" s="23"/>
    </row>
    <row r="177" spans="4:29" s="17" customFormat="1" ht="0.95" customHeight="1" x14ac:dyDescent="0.2">
      <c r="E177" s="26">
        <v>6</v>
      </c>
      <c r="F177" s="26">
        <f>F$154*B92</f>
        <v>3522.1804511278197</v>
      </c>
      <c r="G177" s="26">
        <f>X$154*C92</f>
        <v>454.5</v>
      </c>
      <c r="H177" s="26">
        <f>X$154*D92</f>
        <v>409.5</v>
      </c>
      <c r="I177" s="26">
        <f>(F177-I$172*F160-I$173*G160-I$174*H160-I$175*I160-I$176*J160)/K160</f>
        <v>-321.27736665931661</v>
      </c>
      <c r="J177" s="26">
        <f>(G177-J$172*X160-J$173*Y160-J$174*Z160-J$175*AA160-J$176*AB160)/AC160</f>
        <v>-7.5290674702418787</v>
      </c>
      <c r="K177" s="26">
        <f>(H177-K$172*X160-K$173*Y160-K$174*Z160-K$175*AA160-K$176*AB160)/AC160</f>
        <v>-16.524354411813743</v>
      </c>
      <c r="L177" s="25">
        <f>I177-J177</f>
        <v>-313.74829918907471</v>
      </c>
      <c r="M177" s="25">
        <f>I177+J177</f>
        <v>-328.80643412955851</v>
      </c>
      <c r="N177" s="24">
        <f>ATAN(K177/(J177+0.000001))*90/3.14159</f>
        <v>32.752203568154741</v>
      </c>
      <c r="V177" s="26"/>
      <c r="W177" s="18"/>
      <c r="X177" s="23">
        <v>61</v>
      </c>
      <c r="Y177" s="23">
        <v>62</v>
      </c>
      <c r="Z177" s="23">
        <v>63</v>
      </c>
      <c r="AA177" s="23">
        <v>64</v>
      </c>
      <c r="AB177" s="23">
        <v>65</v>
      </c>
      <c r="AC177" s="23">
        <v>66</v>
      </c>
    </row>
    <row r="178" spans="4:29" s="17" customFormat="1" ht="0.95" customHeight="1" x14ac:dyDescent="0.2">
      <c r="E178" s="26">
        <v>7</v>
      </c>
      <c r="F178" s="26">
        <f>F$154*B93</f>
        <v>4865.4135338345859</v>
      </c>
      <c r="G178" s="26">
        <f>X$154*C93</f>
        <v>567</v>
      </c>
      <c r="H178" s="26">
        <f>X$154*D93</f>
        <v>585</v>
      </c>
      <c r="I178" s="26">
        <f>(F178-I$172*F161-I$173*G161-I$174*H161-I$175*I161-I$176*J161-I$177*K161)/L161</f>
        <v>-266.08877606444219</v>
      </c>
      <c r="J178" s="26">
        <f>(G178-J$172*X161-J$173*Y161-J$174*Z161-J$175*AA161-J$176*AB161-J$177*AC161)/AD161</f>
        <v>-11.566049451493614</v>
      </c>
      <c r="K178" s="26">
        <f>(H178-K$172*X161-K$173*Y161-K$174*Z161-K$175*AA161-K$176*AB161-K$177*AC161)/AD161</f>
        <v>-21.218135038946794</v>
      </c>
      <c r="L178" s="25">
        <f>I178-J178</f>
        <v>-254.52272661294856</v>
      </c>
      <c r="M178" s="25">
        <f>I178+J178</f>
        <v>-277.65482551593578</v>
      </c>
      <c r="N178" s="24">
        <f>ATAN(K178/(J178+0.000001))*90/3.14159</f>
        <v>30.702580456070255</v>
      </c>
      <c r="V178" s="26"/>
      <c r="W178" s="18"/>
      <c r="X178" s="23"/>
      <c r="Y178" s="23"/>
      <c r="Z178" s="23"/>
      <c r="AA178" s="23"/>
      <c r="AB178" s="23"/>
      <c r="AC178" s="23"/>
    </row>
    <row r="179" spans="4:29" s="17" customFormat="1" ht="0.95" customHeight="1" x14ac:dyDescent="0.2">
      <c r="E179" s="26">
        <v>8</v>
      </c>
      <c r="F179" s="26">
        <f>F$154*B94</f>
        <v>6218.7969924812032</v>
      </c>
      <c r="G179" s="26">
        <f>X$154*C94</f>
        <v>747</v>
      </c>
      <c r="H179" s="26">
        <f>X$154*D94</f>
        <v>675</v>
      </c>
      <c r="I179" s="26">
        <f>(F179-I$172*F162-I$173*G162-I$174*H162-I$175*I162-I$176*J162-I$177*K162-I$178*L162)/M162</f>
        <v>-244.36580977380012</v>
      </c>
      <c r="J179" s="26">
        <f>(G179-J$172*X162-J$173*Y162-J$174*Z162-J$175*AA162-J$176*AB162-J$177*AC162-J$178*AD162)/AE162</f>
        <v>-20.092345522116755</v>
      </c>
      <c r="K179" s="26">
        <f>(H179-K$172*X162-K$173*Y162-K$174*Z162-K$175*AA162-K$176*AB162-K$177*AC162-K$178*AD162)/AE162</f>
        <v>-7.0181108306239599</v>
      </c>
      <c r="L179" s="25">
        <f>I179-J179</f>
        <v>-224.27346425168338</v>
      </c>
      <c r="M179" s="25">
        <f>I179+J179</f>
        <v>-264.45815529591687</v>
      </c>
      <c r="N179" s="24">
        <f>ATAN(K179/(J179+0.000001))*90/3.14159</f>
        <v>9.6269778873256922</v>
      </c>
      <c r="V179" s="26"/>
      <c r="W179" s="18"/>
      <c r="X179" s="23"/>
      <c r="Y179" s="23"/>
      <c r="Z179" s="23"/>
      <c r="AA179" s="23"/>
      <c r="AB179" s="23"/>
      <c r="AC179" s="23"/>
    </row>
    <row r="180" spans="4:29" s="17" customFormat="1" ht="0.95" customHeight="1" x14ac:dyDescent="0.2">
      <c r="E180" s="26">
        <v>9</v>
      </c>
      <c r="F180" s="26">
        <f>F$154*B95</f>
        <v>7612.7819548872176</v>
      </c>
      <c r="G180" s="26">
        <f>X$154*C95</f>
        <v>981</v>
      </c>
      <c r="H180" s="26">
        <f>X$154*D95</f>
        <v>783</v>
      </c>
      <c r="I180" s="26">
        <f>(F180-I$172*F163-I$173*G163-I$174*H163-I$175*I163-I$176*J163-I$177*K163-I$178*L163-I$179*M163)/N163</f>
        <v>-239.43840692495837</v>
      </c>
      <c r="J180" s="26">
        <f>(G180-J$172*X163-J$173*Y163-J$174*Z163-J$175*AA163-J$176*AB163-J$177*AC163-J$178*AD163-J$179*AE163)/AF163</f>
        <v>-25.770991403233236</v>
      </c>
      <c r="K180" s="26">
        <f>(H180-K$172*X163-K$173*Y163-K$174*Z163-K$175*AA163-K$176*AB163-K$177*AC163-K$178*AD163-K$179*AE163)/AF163</f>
        <v>-8.8811993011482624</v>
      </c>
      <c r="L180" s="25">
        <f>I180-J180</f>
        <v>-213.66741552172513</v>
      </c>
      <c r="M180" s="25">
        <f>I180+J180</f>
        <v>-265.20939832819158</v>
      </c>
      <c r="N180" s="24">
        <f>ATAN(K180/(J180+0.000001))*90/3.14159</f>
        <v>9.5074963646485386</v>
      </c>
      <c r="V180" s="26"/>
      <c r="W180" s="18"/>
      <c r="X180" s="23"/>
      <c r="Y180" s="23"/>
      <c r="Z180" s="23"/>
      <c r="AA180" s="23"/>
      <c r="AB180" s="23"/>
      <c r="AC180" s="23"/>
    </row>
    <row r="181" spans="4:29" s="17" customFormat="1" ht="0.95" customHeight="1" x14ac:dyDescent="0.2">
      <c r="E181" s="26">
        <v>10</v>
      </c>
      <c r="F181" s="26">
        <f>F$154*B96</f>
        <v>8986.4661654135343</v>
      </c>
      <c r="G181" s="26">
        <f>X$154*C96</f>
        <v>1188</v>
      </c>
      <c r="H181" s="26">
        <f>X$154*D96</f>
        <v>936</v>
      </c>
      <c r="I181" s="26">
        <f>(F181-I$172*F164-I$173*G164-I$174*H164-I$175*I164-I$176*J164-I$177*K164-I$178*L164-I$179*M164-I$180*N164)/O164</f>
        <v>-222.55362471261546</v>
      </c>
      <c r="J181" s="26">
        <f>(G181-J$172*X164-J$173*Y164-J$174*Z164-J$175*AA164-J$176*AB164-J$177*AC164-J$178*AD164-J$179*AE164-J$180*AF164)/AG164</f>
        <v>-19.723733889305951</v>
      </c>
      <c r="K181" s="26">
        <f>(H181-K$172*X164-K$173*Y164-K$174*Z164-K$175*AA164-K$176*AB164-K$177*AC164-K$178*AD164-K$179*AE164-K$180*AF164)/AG164</f>
        <v>-14.237696370267507</v>
      </c>
      <c r="L181" s="25">
        <f>I181-J181</f>
        <v>-202.82989082330951</v>
      </c>
      <c r="M181" s="25">
        <f>I181+J181</f>
        <v>-242.27735860192141</v>
      </c>
      <c r="N181" s="24">
        <f>ATAN(K181/(J181+0.000001))*90/3.14159</f>
        <v>17.91194676652411</v>
      </c>
      <c r="V181" s="26"/>
      <c r="W181" s="18"/>
      <c r="X181" s="23"/>
      <c r="Y181" s="23"/>
      <c r="Z181" s="23"/>
      <c r="AA181" s="23"/>
      <c r="AB181" s="23"/>
      <c r="AC181" s="23"/>
    </row>
    <row r="182" spans="4:29" s="17" customFormat="1" ht="0.95" customHeight="1" x14ac:dyDescent="0.2">
      <c r="E182" s="26">
        <v>11</v>
      </c>
      <c r="F182" s="26">
        <f>F$154*B97</f>
        <v>10370.300751879699</v>
      </c>
      <c r="G182" s="26">
        <f>X$154*C97</f>
        <v>1237.5</v>
      </c>
      <c r="H182" s="26">
        <f>X$154*D97</f>
        <v>1048.5</v>
      </c>
      <c r="I182" s="26">
        <f>(F182-I$172*F165-I$173*G165-I$174*H165-I$175*I165-I$176*J165-I$177*K165-I$178*L165-I$179*M165-I$180*N165-I$181*O165)/P165</f>
        <v>-223.14010428956374</v>
      </c>
      <c r="J182" s="26">
        <f>(G182-J$172*X165-J$173*Y165-J$174*Z165-J$175*AA165-J$176*AB165-J$177*AC165-J$178*AD165-J$179*AE165-J$180*AF165-J$181*AG165)/AH165</f>
        <v>3.2070015984630662</v>
      </c>
      <c r="K182" s="26">
        <f>(H182-K$172*X165-K$173*Y165-K$174*Z165-K$175*AA165-K$176*AB165-K$177*AC165-K$178*AD165-K$179*AE165-K$180*AF165-K$181*AG165)/AH165</f>
        <v>-7.5220864707475386</v>
      </c>
      <c r="L182" s="25">
        <f>I182-J182</f>
        <v>-226.34710588802682</v>
      </c>
      <c r="M182" s="25">
        <f>I182+J182</f>
        <v>-219.93310269110066</v>
      </c>
      <c r="N182" s="24">
        <f>ATAN(K182/(J182+0.000001))*90/3.14159</f>
        <v>-33.454665985428761</v>
      </c>
      <c r="V182" s="26"/>
      <c r="W182" s="18"/>
      <c r="X182" s="23"/>
      <c r="Y182" s="23"/>
      <c r="Z182" s="23"/>
      <c r="AA182" s="23"/>
      <c r="AB182" s="23"/>
      <c r="AC182" s="23"/>
    </row>
    <row r="183" spans="4:29" s="17" customFormat="1" ht="0.95" customHeight="1" x14ac:dyDescent="0.2">
      <c r="E183" s="26">
        <v>12</v>
      </c>
      <c r="F183" s="26">
        <f>F$154*B98</f>
        <v>13195.488721804511</v>
      </c>
      <c r="G183" s="26">
        <f>X$154*C98</f>
        <v>1296</v>
      </c>
      <c r="H183" s="26">
        <f>X$154*D98</f>
        <v>1278</v>
      </c>
      <c r="I183" s="26">
        <f>(F183-I$172*F166-I$173*G166-I$174*H166-I$175*I166-I$176*J166-I$177*K166-I$178*L166-I$179*M166-I$180*N166-I$181*O166-I$182*P166)/Q166</f>
        <v>-226.02285804314928</v>
      </c>
      <c r="J183" s="26">
        <f>(G183-J$172*X166-J$173*Y166-J$174*Z166-J$175*AA166-J$176*AB166-J$177*AC166-J$178*AD166-J$179*AE166-J$180*AF166-J$181*AG166-J$182*AH166)/AI166</f>
        <v>4.4756213516416787</v>
      </c>
      <c r="K183" s="26">
        <f>(H183-K$172*X166-K$173*Y166-K$174*Z166-K$175*AA166-K$176*AB166-K$177*AC166-K$178*AD166-K$179*AE166-K$180*AF166-K$181*AG166-K$182*AH166)/AI166</f>
        <v>-9.2154441817960855</v>
      </c>
      <c r="L183" s="25">
        <f>I183-J183</f>
        <v>-230.49847939479096</v>
      </c>
      <c r="M183" s="25">
        <f>I183+J183</f>
        <v>-221.54723669150761</v>
      </c>
      <c r="N183" s="24">
        <f>ATAN(K183/(J183+0.000001))*90/3.14159</f>
        <v>-32.047906318198223</v>
      </c>
      <c r="V183" s="26"/>
      <c r="W183" s="18"/>
      <c r="X183" s="23"/>
      <c r="Y183" s="23"/>
      <c r="Z183" s="23"/>
      <c r="AA183" s="23"/>
      <c r="AB183" s="23"/>
      <c r="AC183" s="23"/>
    </row>
    <row r="184" spans="4:29" s="17" customFormat="1" ht="0.95" customHeight="1" x14ac:dyDescent="0.2">
      <c r="E184" s="26">
        <v>13</v>
      </c>
      <c r="F184" s="26">
        <f>F$154*B99</f>
        <v>15848.12030075188</v>
      </c>
      <c r="G184" s="26">
        <f>X$154*C99</f>
        <v>1512</v>
      </c>
      <c r="H184" s="26">
        <f>X$154*D99</f>
        <v>1566</v>
      </c>
      <c r="I184" s="26">
        <f>(F184-I$172*F167-I$173*G167-I$174*H167-I$175*I167-I$176*J167-I$177*K167-I$178*L167-I$179*M167-I$180*N167-I$181*O167-I$182*P167-I$183*Q167)/R167</f>
        <v>-200.99249617176591</v>
      </c>
      <c r="J184" s="26">
        <f>(G184-J$172*X167-J$173*Y167-J$174*Z167-J$175*AA167-J$176*AB167-J$177*AC167-J$178*AD167-J$179*AE167-J$180*AF167-J$181*AG167-J$182*AH167-J$183*AI167)/AJ167</f>
        <v>-7.9597236425428486</v>
      </c>
      <c r="K184" s="26">
        <f>(H184-K$172*X167-K$173*Y167-K$174*Z167-K$175*AA167-K$176*AB167-K$177*AC167-K$178*AD167-K$179*AE167-K$180*AF167-K$181*AG167-K$182*AH167-K$183*AI167)/AJ167</f>
        <v>-12.244441125174252</v>
      </c>
      <c r="L184" s="25">
        <f>I184-J184</f>
        <v>-193.03277252922305</v>
      </c>
      <c r="M184" s="25">
        <f>I184+J184</f>
        <v>-208.95221981430876</v>
      </c>
      <c r="N184" s="24">
        <f>ATAN(K184/(J184+0.000001))*90/3.14159</f>
        <v>28.486715457030453</v>
      </c>
      <c r="V184" s="26"/>
      <c r="W184" s="18"/>
      <c r="X184" s="23"/>
      <c r="Y184" s="23"/>
      <c r="Z184" s="23"/>
      <c r="AA184" s="23"/>
      <c r="AB184" s="23"/>
      <c r="AC184" s="23"/>
    </row>
    <row r="185" spans="4:29" s="17" customFormat="1" ht="0.95" customHeight="1" x14ac:dyDescent="0.2">
      <c r="E185" s="26">
        <v>14</v>
      </c>
      <c r="F185" s="26">
        <f>F$154*B100</f>
        <v>20307.518796992481</v>
      </c>
      <c r="G185" s="26">
        <f>X$154*C100</f>
        <v>1701</v>
      </c>
      <c r="H185" s="26">
        <f>X$154*D100</f>
        <v>1953</v>
      </c>
      <c r="I185" s="26">
        <f>(F185-I$172*F168-I$173*G168-I$174*H168-I$175*I168-I$176*J168-I$177*K168-I$178*L168-I$179*M168-I$180*N168-I$181*O168-I$182*P168-I$183*Q168-I$184*R168)/S168</f>
        <v>-164.96035077161588</v>
      </c>
      <c r="J185" s="26">
        <f>(G185-J$172*X168-J$173*Y168-J$174*Z168-J$175*AA168-J$176*AB168-J$177*AC168-J$178*AD168-J$179*AE168-J$180*AF168-J$181*AG168-J$182*AH168-J$183*AI168-J$184*AJ168)/AK168</f>
        <v>-0.77880056111073115</v>
      </c>
      <c r="K185" s="26">
        <f>(H185-K$172*X168-K$173*Y168-K$174*Z168-K$175*AA168-K$176*AB168-K$177*AC168-K$178*AD168-K$179*AE168-K$180*AF168-K$181*AG168-K$182*AH168-K$183*AI168-K$184*AJ168)/AK168</f>
        <v>-5.9588899599524208</v>
      </c>
      <c r="L185" s="25">
        <f>I185-J185</f>
        <v>-164.18155021050515</v>
      </c>
      <c r="M185" s="25">
        <f>I185+J185</f>
        <v>-165.73915133272661</v>
      </c>
      <c r="N185" s="24">
        <f>ATAN(K185/(J185+0.000001))*90/3.14159</f>
        <v>41.276989628679246</v>
      </c>
      <c r="V185" s="26"/>
      <c r="W185" s="18"/>
      <c r="X185" s="23"/>
      <c r="Y185" s="23"/>
      <c r="Z185" s="23"/>
      <c r="AA185" s="23"/>
      <c r="AB185" s="23"/>
      <c r="AC185" s="23"/>
    </row>
    <row r="186" spans="4:29" s="17" customFormat="1" ht="0.95" customHeight="1" x14ac:dyDescent="0.2">
      <c r="D186" s="17" t="s">
        <v>103</v>
      </c>
      <c r="E186" s="26">
        <v>15</v>
      </c>
      <c r="F186" s="26"/>
      <c r="G186" s="26"/>
      <c r="H186" s="26"/>
      <c r="I186" s="26">
        <f>(I185+I188)/2</f>
        <v>-142.85404952201208</v>
      </c>
      <c r="J186" s="26">
        <f>(J185+J188)/2</f>
        <v>1.5358312088994679</v>
      </c>
      <c r="K186" s="26">
        <f>(K185+K188)/2</f>
        <v>-5.7414961969714868</v>
      </c>
      <c r="L186" s="25">
        <f>I186-J186</f>
        <v>-144.38988073091156</v>
      </c>
      <c r="M186" s="25">
        <f>I186+J186</f>
        <v>-141.3182183131126</v>
      </c>
      <c r="N186" s="24">
        <f>ATAN(K186/(J186+0.000001))*90/3.14159</f>
        <v>-37.512123354244821</v>
      </c>
      <c r="V186" s="26"/>
      <c r="W186" s="18"/>
      <c r="X186" s="23"/>
      <c r="Y186" s="23"/>
      <c r="Z186" s="23"/>
      <c r="AA186" s="23"/>
      <c r="AB186" s="23"/>
      <c r="AC186" s="23"/>
    </row>
    <row r="187" spans="4:29" s="17" customFormat="1" ht="0.95" customHeight="1" x14ac:dyDescent="0.2">
      <c r="D187" s="17" t="s">
        <v>103</v>
      </c>
      <c r="E187" s="26">
        <v>16</v>
      </c>
      <c r="F187" s="26"/>
      <c r="G187" s="26"/>
      <c r="H187" s="26"/>
      <c r="I187" s="26">
        <f>(I186+I188)/2</f>
        <v>-131.80089889721017</v>
      </c>
      <c r="J187" s="26">
        <f>(J186+J188)/2</f>
        <v>2.6931470939045674</v>
      </c>
      <c r="K187" s="26">
        <f>(K186+K188)/2</f>
        <v>-5.6327993154810194</v>
      </c>
      <c r="L187" s="25">
        <f>I187-J187</f>
        <v>-134.49404599111475</v>
      </c>
      <c r="M187" s="25">
        <f>I187+J187</f>
        <v>-129.1077518033056</v>
      </c>
      <c r="N187" s="24">
        <f>ATAN(K187/(J187+0.000001))*90/3.14159</f>
        <v>-32.223353667413072</v>
      </c>
      <c r="V187" s="26"/>
      <c r="W187" s="18"/>
      <c r="X187" s="23"/>
      <c r="Y187" s="23"/>
      <c r="Z187" s="23"/>
      <c r="AA187" s="23"/>
      <c r="AB187" s="23"/>
      <c r="AC187" s="23"/>
    </row>
    <row r="188" spans="4:29" s="17" customFormat="1" ht="0.95" customHeight="1" x14ac:dyDescent="0.2">
      <c r="E188" s="26">
        <v>17</v>
      </c>
      <c r="F188" s="26">
        <f>F$154*B101</f>
        <v>26133.834586466164</v>
      </c>
      <c r="G188" s="26">
        <f>X$154*C101</f>
        <v>1710</v>
      </c>
      <c r="H188" s="26">
        <f>X$154*D101</f>
        <v>2538</v>
      </c>
      <c r="I188" s="26">
        <f>(F188-I$172*F169-I$173*G169-I$174*H169-I$175*I169-I$176*J169-I$177*K169-I$178*L169-I$179*M169-I$180*N169-I$181*O169-I$182*P169-I$183*Q169-I$184*R169-I$185*S169)/T169</f>
        <v>-120.74774827240824</v>
      </c>
      <c r="J188" s="26">
        <f>(G188-J$172*X169-J$173*Y169-J$174*Z169-J$175*AA169-J$176*AB169-J$177*AC169-J$178*AD169-J$179*AE169-J$180*AF169-J$181*AG169-J$182*AH169-J$183*AI169-J$184*AJ169-J$185*AK169)/AL169</f>
        <v>3.8504629789096669</v>
      </c>
      <c r="K188" s="26">
        <f>(H188-K$172*X169-K$173*Y169-K$174*Z169-K$175*AA169-K$176*AB169-K$177*AC169-K$178*AD169-K$179*AE169-K$180*AF169-K$181*AG169-K$182*AH169-K$183*AI169-K$184*AJ169-K$185*AK169)/AL169</f>
        <v>-5.5241024339905529</v>
      </c>
      <c r="L188" s="25">
        <f>I188-J188</f>
        <v>-124.59821125131791</v>
      </c>
      <c r="M188" s="25">
        <f>I188+J188</f>
        <v>-116.89728529349858</v>
      </c>
      <c r="N188" s="24">
        <f>ATAN(K188/(J188+0.000001))*90/3.14159</f>
        <v>-27.561200385658534</v>
      </c>
      <c r="V188" s="26"/>
      <c r="W188" s="18"/>
      <c r="X188" s="23"/>
      <c r="Y188" s="23"/>
      <c r="Z188" s="23"/>
      <c r="AA188" s="23"/>
      <c r="AB188" s="23"/>
      <c r="AC188" s="23"/>
    </row>
    <row r="189" spans="4:29" s="17" customFormat="1" ht="0.95" customHeight="1" x14ac:dyDescent="0.2">
      <c r="D189" s="17" t="s">
        <v>103</v>
      </c>
      <c r="E189" s="26">
        <v>18</v>
      </c>
      <c r="F189" s="26"/>
      <c r="G189" s="26"/>
      <c r="H189" s="26"/>
      <c r="I189" s="26">
        <f>(I188+I191)/2</f>
        <v>-86.329283869162253</v>
      </c>
      <c r="J189" s="26">
        <f>(J188+J191)/2</f>
        <v>0.40545836858589301</v>
      </c>
      <c r="K189" s="26">
        <f>(K188+K191)/2</f>
        <v>-2.4791055927839487</v>
      </c>
      <c r="L189" s="25">
        <f>I189-J189</f>
        <v>-86.734742237748151</v>
      </c>
      <c r="M189" s="25">
        <f>I189+J189</f>
        <v>-85.923825500576356</v>
      </c>
      <c r="N189" s="24">
        <f>ATAN(K189/(J189+0.000001))*90/3.14159</f>
        <v>-40.355770876862053</v>
      </c>
      <c r="V189" s="26"/>
      <c r="W189" s="18"/>
      <c r="X189" s="23"/>
      <c r="Y189" s="23"/>
      <c r="Z189" s="23"/>
      <c r="AA189" s="23"/>
      <c r="AB189" s="23"/>
      <c r="AC189" s="23"/>
    </row>
    <row r="190" spans="4:29" s="17" customFormat="1" ht="0.95" customHeight="1" x14ac:dyDescent="0.2">
      <c r="D190" s="17" t="s">
        <v>103</v>
      </c>
      <c r="E190" s="26">
        <v>19</v>
      </c>
      <c r="F190" s="26"/>
      <c r="G190" s="26"/>
      <c r="H190" s="26"/>
      <c r="I190" s="26">
        <f>(I189+I191)/2</f>
        <v>-69.120051667539258</v>
      </c>
      <c r="J190" s="26">
        <f>(J189+J191)/2</f>
        <v>-1.3170439365759941</v>
      </c>
      <c r="K190" s="26">
        <f>(K189+K191)/2</f>
        <v>-0.95660717218064661</v>
      </c>
      <c r="L190" s="25">
        <f>I190-J190</f>
        <v>-67.803007730963259</v>
      </c>
      <c r="M190" s="25">
        <f>I190+J190</f>
        <v>-70.437095604115257</v>
      </c>
      <c r="N190" s="24">
        <f>ATAN(K190/(J190+0.000001))*90/3.14159</f>
        <v>17.996020952033636</v>
      </c>
      <c r="V190" s="26"/>
      <c r="W190" s="18"/>
      <c r="X190" s="23"/>
      <c r="Y190" s="23"/>
      <c r="Z190" s="23"/>
      <c r="AA190" s="23"/>
      <c r="AB190" s="23"/>
      <c r="AC190" s="23"/>
    </row>
    <row r="191" spans="4:29" s="17" customFormat="1" ht="0.95" customHeight="1" x14ac:dyDescent="0.2">
      <c r="E191" s="26">
        <v>20</v>
      </c>
      <c r="F191" s="26">
        <f>F$154*B102</f>
        <v>29855.639097744359</v>
      </c>
      <c r="G191" s="26">
        <f>X$154*C102</f>
        <v>2003.9999999999986</v>
      </c>
      <c r="H191" s="26">
        <f>X$154*D102</f>
        <v>2772</v>
      </c>
      <c r="I191" s="26">
        <f>(F191-I$172*F170-I$173*G170-I$174*H170-I$175*I170-I$176*J170-I$177*K170-I$178*L170-I$179*M170-I$180*N170-I$181*O170-I$182*P170-I$183*Q170-I$184*R170-I$185*S170-I$188*T170)/U170</f>
        <v>-51.910819465916276</v>
      </c>
      <c r="J191" s="26">
        <f>(G191-J$172*X170-J$173*Y170-J$174*Z170-J$175*AA170-J$176*AB170-J$177*AC170-J$178*AD170-J$179*AE170-J$180*AF170-J$181*AG170-J$182*AH170-J$183*AI170-J$184*AJ170-J$185*AK170-J$188*AL170)/AM170</f>
        <v>-3.0395462417378809</v>
      </c>
      <c r="K191" s="26">
        <f>(H191-K$172*X170-K$173*Y170-K$174*Z170-K$175*AA170-K$176*AB170-K$177*AC170-K$178*AD170-K$179*AE170-K$180*AF170-K$181*AG170-K$182*AH170-K$183*AI170-K$184*AJ170-K$185*AK170-K$188*AL170)/AM170</f>
        <v>0.56589124842265548</v>
      </c>
      <c r="L191" s="25">
        <f>I191-J191</f>
        <v>-48.871273224178395</v>
      </c>
      <c r="M191" s="25">
        <f>I191+J191</f>
        <v>-54.950365707654157</v>
      </c>
      <c r="N191" s="24">
        <f>ATAN(K191/(J191+0.000001))*90/3.14159</f>
        <v>-5.2731896556971671</v>
      </c>
      <c r="O191" s="18"/>
      <c r="P191" s="18"/>
      <c r="Q191" s="18"/>
      <c r="R191" s="18"/>
      <c r="S191" s="18"/>
      <c r="T191" s="18"/>
      <c r="U191" s="18"/>
      <c r="V191" s="18"/>
      <c r="W191" s="23"/>
      <c r="X191" s="23"/>
      <c r="Y191" s="23"/>
      <c r="Z191" s="23"/>
      <c r="AA191" s="23"/>
      <c r="AB191" s="23"/>
    </row>
    <row r="192" spans="4:29" s="17" customFormat="1" ht="0.95" customHeight="1" x14ac:dyDescent="0.2">
      <c r="N192" s="18"/>
      <c r="O192" s="18"/>
      <c r="P192" s="18" t="s">
        <v>98</v>
      </c>
      <c r="Q192" s="18"/>
      <c r="R192" s="18"/>
      <c r="S192" s="18"/>
      <c r="T192" s="18" t="s">
        <v>102</v>
      </c>
      <c r="U192" s="18" t="s">
        <v>101</v>
      </c>
      <c r="V192" s="18" t="s">
        <v>100</v>
      </c>
      <c r="W192" s="18" t="s">
        <v>99</v>
      </c>
      <c r="X192" s="18"/>
      <c r="Y192" s="18" t="s">
        <v>102</v>
      </c>
      <c r="Z192" s="18" t="s">
        <v>101</v>
      </c>
      <c r="AA192" s="18" t="s">
        <v>100</v>
      </c>
      <c r="AB192" s="18" t="s">
        <v>99</v>
      </c>
    </row>
    <row r="193" spans="14:28" s="17" customFormat="1" ht="0.95" customHeight="1" x14ac:dyDescent="0.2">
      <c r="N193" s="18"/>
      <c r="O193" s="18"/>
      <c r="P193" s="19">
        <f>D80</f>
        <v>-5.2731896556971671</v>
      </c>
      <c r="Q193" s="19">
        <f>ABS(P193)</f>
        <v>5.2731896556971671</v>
      </c>
      <c r="S193" s="22" t="s">
        <v>98</v>
      </c>
      <c r="T193" s="22" t="s">
        <v>97</v>
      </c>
      <c r="U193" s="22" t="s">
        <v>96</v>
      </c>
      <c r="V193" s="22" t="s">
        <v>95</v>
      </c>
      <c r="W193" s="22" t="s">
        <v>94</v>
      </c>
      <c r="X193" s="22" t="s">
        <v>93</v>
      </c>
      <c r="Y193" s="22" t="s">
        <v>95</v>
      </c>
      <c r="Z193" s="22" t="s">
        <v>94</v>
      </c>
      <c r="AA193" s="22" t="s">
        <v>95</v>
      </c>
      <c r="AB193" s="22" t="s">
        <v>94</v>
      </c>
    </row>
    <row r="194" spans="14:28" s="17" customFormat="1" ht="0.95" customHeight="1" x14ac:dyDescent="0.2">
      <c r="N194" s="18"/>
      <c r="O194" s="18"/>
      <c r="P194" s="19">
        <f>IF(P193=Q193,P193,270+P193)</f>
        <v>264.72681034430281</v>
      </c>
      <c r="Q194" s="19"/>
      <c r="S194" s="18">
        <v>0</v>
      </c>
      <c r="T194" s="18">
        <f>IF(AND($P$200=S194,$Z$25&lt;$AA$25),100,0)</f>
        <v>0</v>
      </c>
      <c r="U194" s="18">
        <v>0</v>
      </c>
      <c r="V194" s="18">
        <v>0</v>
      </c>
      <c r="W194" s="18">
        <f>IF(AND($P$200=S194,$Z$25&gt;=$AA$25),100,0)</f>
        <v>0</v>
      </c>
      <c r="X194" s="18">
        <v>0</v>
      </c>
      <c r="Y194" s="18">
        <f>IF(AND($P$210=X194,$Z$20&lt;$AA$20),100,0)</f>
        <v>0</v>
      </c>
      <c r="Z194" s="18">
        <v>0</v>
      </c>
      <c r="AA194" s="18">
        <v>0</v>
      </c>
      <c r="AB194" s="18">
        <f>IF(AND($P$210=X194,$Z$20&gt;=$AA$20),100,0)</f>
        <v>0</v>
      </c>
    </row>
    <row r="195" spans="14:28" s="17" customFormat="1" ht="0.95" customHeight="1" x14ac:dyDescent="0.2">
      <c r="N195" s="18"/>
      <c r="O195" s="18"/>
      <c r="P195" s="19">
        <f>IF(P193=Q193,270-P193,-P193)</f>
        <v>5.2731896556971671</v>
      </c>
      <c r="Q195" s="19"/>
      <c r="S195" s="18">
        <f>S194+1</f>
        <v>1</v>
      </c>
      <c r="T195" s="18">
        <f>IF(AND($P$200=S195,$Z$25&lt;$AA$25),100,0)</f>
        <v>0</v>
      </c>
      <c r="U195" s="18">
        <v>0</v>
      </c>
      <c r="V195" s="18">
        <v>0</v>
      </c>
      <c r="W195" s="18">
        <f>IF(AND($P$200=S195,$Z$25&gt;=$AA$25),100,0)</f>
        <v>0</v>
      </c>
      <c r="X195" s="18">
        <f>X194+1</f>
        <v>1</v>
      </c>
      <c r="Y195" s="18">
        <f>IF(AND($P$210=X195,$Z$20&lt;$AA$20),100,0)</f>
        <v>0</v>
      </c>
      <c r="Z195" s="18">
        <v>0</v>
      </c>
      <c r="AA195" s="18">
        <v>0</v>
      </c>
      <c r="AB195" s="18">
        <f>IF(AND($P$210=X195,$Z$20&gt;=$AA$20),100,0)</f>
        <v>0</v>
      </c>
    </row>
    <row r="196" spans="14:28" s="17" customFormat="1" ht="0.95" customHeight="1" x14ac:dyDescent="0.2">
      <c r="N196" s="18"/>
      <c r="O196" s="18"/>
      <c r="P196" s="19">
        <f>IF(P193=Q193,P193,90+P193)</f>
        <v>84.726810344302834</v>
      </c>
      <c r="Q196" s="19"/>
      <c r="S196" s="18">
        <f>S195+1</f>
        <v>2</v>
      </c>
      <c r="T196" s="18">
        <f>IF(AND($P$200=S196,$Z$25&lt;$AA$25),100,0)</f>
        <v>0</v>
      </c>
      <c r="U196" s="18">
        <v>0</v>
      </c>
      <c r="V196" s="18">
        <v>0</v>
      </c>
      <c r="W196" s="18">
        <f>IF(AND($P$200=S196,$Z$25&gt;=$AA$25),100,0)</f>
        <v>0</v>
      </c>
      <c r="X196" s="18">
        <f>X195+1</f>
        <v>2</v>
      </c>
      <c r="Y196" s="18">
        <f>IF(AND($P$210=X196,$Z$20&lt;$AA$20),100,0)</f>
        <v>0</v>
      </c>
      <c r="Z196" s="18">
        <v>0</v>
      </c>
      <c r="AA196" s="18">
        <v>0</v>
      </c>
      <c r="AB196" s="18">
        <f>IF(AND($P$210=X196,$Z$20&gt;=$AA$20),100,0)</f>
        <v>0</v>
      </c>
    </row>
    <row r="197" spans="14:28" s="17" customFormat="1" ht="0.95" customHeight="1" x14ac:dyDescent="0.2">
      <c r="N197" s="18"/>
      <c r="O197" s="18"/>
      <c r="P197" s="19">
        <f>IF(Q193=P193, 90-P193,-P193)</f>
        <v>5.2731896556971671</v>
      </c>
      <c r="Q197" s="19"/>
      <c r="S197" s="18">
        <f>S196+1</f>
        <v>3</v>
      </c>
      <c r="T197" s="18">
        <f>IF(AND($P$200=S197,$Z$25&lt;$AA$25),100,0)</f>
        <v>0</v>
      </c>
      <c r="U197" s="18">
        <v>0</v>
      </c>
      <c r="V197" s="18">
        <v>0</v>
      </c>
      <c r="W197" s="18">
        <f>IF(AND($P$200=S197,$Z$25&gt;=$AA$25),100,0)</f>
        <v>0</v>
      </c>
      <c r="X197" s="18">
        <f>X196+1</f>
        <v>3</v>
      </c>
      <c r="Y197" s="18">
        <f>IF(AND($P$210=X197,$Z$20&lt;$AA$20),100,0)</f>
        <v>0</v>
      </c>
      <c r="Z197" s="18">
        <v>0</v>
      </c>
      <c r="AA197" s="18">
        <v>0</v>
      </c>
      <c r="AB197" s="18">
        <f>IF(AND($P$210=X197,$Z$20&gt;=$AA$20),100,0)</f>
        <v>0</v>
      </c>
    </row>
    <row r="198" spans="14:28" s="17" customFormat="1" ht="0.95" customHeight="1" x14ac:dyDescent="0.2">
      <c r="N198" s="18"/>
      <c r="O198" s="18"/>
      <c r="P198" s="19">
        <f>SUM(P194:P197)</f>
        <v>360.00000000000006</v>
      </c>
      <c r="Q198" s="18"/>
      <c r="S198" s="18">
        <f>S197+1</f>
        <v>4</v>
      </c>
      <c r="T198" s="18">
        <f>IF(AND($P$200=S198,$Z$25&lt;$AA$25),100,0)</f>
        <v>0</v>
      </c>
      <c r="U198" s="18">
        <v>0</v>
      </c>
      <c r="V198" s="18">
        <v>0</v>
      </c>
      <c r="W198" s="18">
        <f>IF(AND($P$200=S198,$Z$25&gt;=$AA$25),100,0)</f>
        <v>0</v>
      </c>
      <c r="X198" s="18">
        <f>X197+1</f>
        <v>4</v>
      </c>
      <c r="Y198" s="18">
        <f>IF(AND($P$210=X198,$Z$20&lt;$AA$20),100,0)</f>
        <v>0</v>
      </c>
      <c r="Z198" s="18">
        <v>0</v>
      </c>
      <c r="AA198" s="18">
        <v>0</v>
      </c>
      <c r="AB198" s="18">
        <f>IF(AND($P$210=X198,$Z$20&gt;=$AA$20),100,0)</f>
        <v>0</v>
      </c>
    </row>
    <row r="199" spans="14:28" s="17" customFormat="1" ht="0.95" customHeight="1" x14ac:dyDescent="0.2">
      <c r="N199" s="18"/>
      <c r="O199" s="18"/>
      <c r="P199" s="19"/>
      <c r="Q199" s="18"/>
      <c r="S199" s="18">
        <f>S198+1</f>
        <v>5</v>
      </c>
      <c r="T199" s="18">
        <f>IF(AND($P$200=S199,$Z$25&lt;$AA$25),100,0)</f>
        <v>0</v>
      </c>
      <c r="U199" s="18">
        <v>0</v>
      </c>
      <c r="V199" s="18">
        <v>0</v>
      </c>
      <c r="W199" s="18">
        <f>IF(AND($P$200=S199,$Z$25&gt;=$AA$25),100,0)</f>
        <v>0</v>
      </c>
      <c r="X199" s="18">
        <f>X198+1</f>
        <v>5</v>
      </c>
      <c r="Y199" s="18">
        <f>IF(AND($P$210=X199,$Z$20&lt;$AA$20),100,0)</f>
        <v>0</v>
      </c>
      <c r="Z199" s="18">
        <v>0</v>
      </c>
      <c r="AA199" s="18">
        <v>0</v>
      </c>
      <c r="AB199" s="18">
        <f>IF(AND($P$210=X199,$Z$20&gt;=$AA$20),100,0)</f>
        <v>0</v>
      </c>
    </row>
    <row r="200" spans="14:28" s="17" customFormat="1" ht="0.95" customHeight="1" x14ac:dyDescent="0.2">
      <c r="N200" s="18"/>
      <c r="O200" s="18"/>
      <c r="P200" s="19">
        <f>INT((P193+1.5)/3)</f>
        <v>-2</v>
      </c>
      <c r="Q200" s="18"/>
      <c r="S200" s="18">
        <f>S199+1</f>
        <v>6</v>
      </c>
      <c r="T200" s="18">
        <f>IF(AND($P$200=S200,$Z$25&lt;$AA$25),100,0)</f>
        <v>0</v>
      </c>
      <c r="U200" s="18">
        <v>0</v>
      </c>
      <c r="V200" s="18">
        <v>0</v>
      </c>
      <c r="W200" s="18">
        <f>IF(AND($P$200=S200,$Z$25&gt;=$AA$25),100,0)</f>
        <v>0</v>
      </c>
      <c r="X200" s="18">
        <f>X199+1</f>
        <v>6</v>
      </c>
      <c r="Y200" s="18">
        <f>IF(AND($P$210=X200,$Z$20&lt;$AA$20),100,0)</f>
        <v>0</v>
      </c>
      <c r="Z200" s="18">
        <v>0</v>
      </c>
      <c r="AA200" s="18">
        <v>0</v>
      </c>
      <c r="AB200" s="18">
        <f>IF(AND($P$210=X200,$Z$20&gt;=$AA$20),100,0)</f>
        <v>0</v>
      </c>
    </row>
    <row r="201" spans="14:28" s="17" customFormat="1" ht="0.95" customHeight="1" x14ac:dyDescent="0.2">
      <c r="N201" s="18"/>
      <c r="O201" s="18"/>
      <c r="P201" s="18"/>
      <c r="Q201" s="18"/>
      <c r="R201" s="18"/>
      <c r="S201" s="18">
        <f>S200+1</f>
        <v>7</v>
      </c>
      <c r="T201" s="18">
        <f>IF(AND($P$200=S201,$Z$25&lt;$AA$25),100,0)</f>
        <v>0</v>
      </c>
      <c r="U201" s="18">
        <v>0</v>
      </c>
      <c r="V201" s="18">
        <v>0</v>
      </c>
      <c r="W201" s="18">
        <f>IF(AND($P$200=S201,$Z$25&gt;=$AA$25),100,0)</f>
        <v>0</v>
      </c>
      <c r="X201" s="18">
        <f>X200+1</f>
        <v>7</v>
      </c>
      <c r="Y201" s="18">
        <f>IF(AND($P$210=X201,$Z$20&lt;$AA$20),100,0)</f>
        <v>0</v>
      </c>
      <c r="Z201" s="18">
        <v>0</v>
      </c>
      <c r="AA201" s="18">
        <v>0</v>
      </c>
      <c r="AB201" s="18">
        <f>IF(AND($P$210=X201,$Z$20&gt;=$AA$20),100,0)</f>
        <v>0</v>
      </c>
    </row>
    <row r="202" spans="14:28" s="17" customFormat="1" ht="0.95" customHeight="1" x14ac:dyDescent="0.2">
      <c r="N202" s="18"/>
      <c r="O202" s="18"/>
      <c r="P202" s="18" t="s">
        <v>93</v>
      </c>
      <c r="Q202" s="18"/>
      <c r="R202" s="18"/>
      <c r="S202" s="18">
        <f>S201+1</f>
        <v>8</v>
      </c>
      <c r="T202" s="18">
        <f>IF(AND($P$200=S202,$Z$25&lt;$AA$25),100,0)</f>
        <v>0</v>
      </c>
      <c r="U202" s="18">
        <v>0</v>
      </c>
      <c r="V202" s="18">
        <v>0</v>
      </c>
      <c r="W202" s="18">
        <f>IF(AND($P$200=S202,$Z$25&gt;=$AA$25),100,0)</f>
        <v>0</v>
      </c>
      <c r="X202" s="18">
        <f>X201+1</f>
        <v>8</v>
      </c>
      <c r="Y202" s="18">
        <f>IF(AND($P$210=X202,$Z$20&lt;$AA$20),100,0)</f>
        <v>0</v>
      </c>
      <c r="Z202" s="18">
        <v>0</v>
      </c>
      <c r="AA202" s="18">
        <v>0</v>
      </c>
      <c r="AB202" s="18">
        <f>IF(AND($P$210=X202,$Z$20&gt;=$AA$20),100,0)</f>
        <v>0</v>
      </c>
    </row>
    <row r="203" spans="14:28" s="17" customFormat="1" ht="0.95" customHeight="1" x14ac:dyDescent="0.2">
      <c r="N203" s="18"/>
      <c r="O203" s="18"/>
      <c r="P203" s="19">
        <f>D75</f>
        <v>-37.512123354244821</v>
      </c>
      <c r="Q203" s="19">
        <f>ABS(P203)</f>
        <v>37.512123354244821</v>
      </c>
      <c r="R203" s="18"/>
      <c r="S203" s="18">
        <f>S202+1</f>
        <v>9</v>
      </c>
      <c r="T203" s="18">
        <f>IF(AND($P$200=S203,$Z$25&lt;$AA$25),100,0)</f>
        <v>0</v>
      </c>
      <c r="U203" s="18">
        <v>0</v>
      </c>
      <c r="V203" s="18">
        <v>0</v>
      </c>
      <c r="W203" s="18">
        <f>IF(AND($P$200=S203,$Z$25&gt;=$AA$25),100,0)</f>
        <v>0</v>
      </c>
      <c r="X203" s="18">
        <f>X202+1</f>
        <v>9</v>
      </c>
      <c r="Y203" s="18">
        <f>IF(AND($P$210=X203,$Z$20&lt;$AA$20),100,0)</f>
        <v>0</v>
      </c>
      <c r="Z203" s="18">
        <v>0</v>
      </c>
      <c r="AA203" s="18">
        <v>0</v>
      </c>
      <c r="AB203" s="18">
        <f>IF(AND($P$210=X203,$Z$20&gt;=$AA$20),100,0)</f>
        <v>0</v>
      </c>
    </row>
    <row r="204" spans="14:28" s="17" customFormat="1" ht="0.95" customHeight="1" x14ac:dyDescent="0.2">
      <c r="N204" s="18"/>
      <c r="O204" s="18"/>
      <c r="P204" s="19">
        <f>IF(P203=Q203,P203,270+P203)</f>
        <v>232.48787664575519</v>
      </c>
      <c r="Q204" s="18"/>
      <c r="R204" s="18"/>
      <c r="S204" s="18">
        <f>S203+1</f>
        <v>10</v>
      </c>
      <c r="T204" s="18">
        <f>IF(AND($P$200=S204,$Z$25&lt;$AA$25),100,0)</f>
        <v>0</v>
      </c>
      <c r="U204" s="18">
        <v>0</v>
      </c>
      <c r="V204" s="18">
        <v>0</v>
      </c>
      <c r="W204" s="18">
        <f>IF(AND($P$200=S204,$Z$25&gt;=$AA$25),100,0)</f>
        <v>0</v>
      </c>
      <c r="X204" s="18">
        <f>X203+1</f>
        <v>10</v>
      </c>
      <c r="Y204" s="18">
        <f>IF(AND($P$210=X204,$Z$20&lt;$AA$20),100,0)</f>
        <v>0</v>
      </c>
      <c r="Z204" s="18">
        <v>0</v>
      </c>
      <c r="AA204" s="18">
        <v>0</v>
      </c>
      <c r="AB204" s="18">
        <f>IF(AND($P$210=X204,$Z$20&gt;=$AA$20),100,0)</f>
        <v>0</v>
      </c>
    </row>
    <row r="205" spans="14:28" s="17" customFormat="1" ht="0.95" customHeight="1" x14ac:dyDescent="0.2">
      <c r="N205" s="18"/>
      <c r="O205" s="18"/>
      <c r="P205" s="19">
        <f>IF(P203=Q203,270-P203,-P203)</f>
        <v>37.512123354244821</v>
      </c>
      <c r="Q205" s="18"/>
      <c r="R205" s="18"/>
      <c r="S205" s="18">
        <f>S204+1</f>
        <v>11</v>
      </c>
      <c r="T205" s="18">
        <f>IF(AND($P$200=S205,$Z$25&lt;$AA$25),100,0)</f>
        <v>0</v>
      </c>
      <c r="U205" s="18">
        <v>0</v>
      </c>
      <c r="V205" s="18">
        <v>0</v>
      </c>
      <c r="W205" s="18">
        <f>IF(AND($P$200=S205,$Z$25&gt;=$AA$25),100,0)</f>
        <v>0</v>
      </c>
      <c r="X205" s="18">
        <f>X204+1</f>
        <v>11</v>
      </c>
      <c r="Y205" s="18">
        <f>IF(AND($P$210=X205,$Z$20&lt;$AA$20),100,0)</f>
        <v>0</v>
      </c>
      <c r="Z205" s="18">
        <v>0</v>
      </c>
      <c r="AA205" s="18">
        <v>0</v>
      </c>
      <c r="AB205" s="18">
        <f>IF(AND($P$210=X205,$Z$20&gt;=$AA$20),100,0)</f>
        <v>0</v>
      </c>
    </row>
    <row r="206" spans="14:28" s="17" customFormat="1" ht="0.95" customHeight="1" x14ac:dyDescent="0.2">
      <c r="N206" s="18"/>
      <c r="O206" s="18"/>
      <c r="P206" s="19">
        <f>IF(P203=Q203,P203,90+P203)</f>
        <v>52.487876645755179</v>
      </c>
      <c r="Q206" s="18"/>
      <c r="R206" s="18"/>
      <c r="S206" s="18">
        <f>S205+1</f>
        <v>12</v>
      </c>
      <c r="T206" s="18">
        <f>IF(AND($P$200=S206,$Z$25&lt;$AA$25),100,0)</f>
        <v>0</v>
      </c>
      <c r="U206" s="18">
        <v>0</v>
      </c>
      <c r="V206" s="18">
        <v>0</v>
      </c>
      <c r="W206" s="18">
        <f>IF(AND($P$200=S206,$Z$25&gt;=$AA$25),100,0)</f>
        <v>0</v>
      </c>
      <c r="X206" s="18">
        <f>X205+1</f>
        <v>12</v>
      </c>
      <c r="Y206" s="18">
        <f>IF(AND($P$210=X206,$Z$20&lt;$AA$20),100,0)</f>
        <v>0</v>
      </c>
      <c r="Z206" s="18">
        <v>0</v>
      </c>
      <c r="AA206" s="18">
        <v>0</v>
      </c>
      <c r="AB206" s="18">
        <f>IF(AND($P$210=X206,$Z$20&gt;=$AA$20),100,0)</f>
        <v>0</v>
      </c>
    </row>
    <row r="207" spans="14:28" s="17" customFormat="1" ht="0.95" customHeight="1" x14ac:dyDescent="0.2">
      <c r="N207" s="18"/>
      <c r="O207" s="18"/>
      <c r="P207" s="19">
        <f>IF(Q203=P203, 90-P203,-P203)</f>
        <v>37.512123354244821</v>
      </c>
      <c r="Q207" s="18"/>
      <c r="R207" s="18"/>
      <c r="S207" s="18">
        <f>S206+1</f>
        <v>13</v>
      </c>
      <c r="T207" s="18">
        <f>IF(AND($P$200=S207,$Z$25&lt;$AA$25),100,0)</f>
        <v>0</v>
      </c>
      <c r="U207" s="18">
        <v>0</v>
      </c>
      <c r="V207" s="18">
        <v>0</v>
      </c>
      <c r="W207" s="18">
        <f>IF(AND($P$200=S207,$Z$25&gt;=$AA$25),100,0)</f>
        <v>0</v>
      </c>
      <c r="X207" s="18">
        <f>X206+1</f>
        <v>13</v>
      </c>
      <c r="Y207" s="18">
        <f>IF(AND($P$210=X207,$Z$20&lt;$AA$20),100,0)</f>
        <v>0</v>
      </c>
      <c r="Z207" s="18">
        <v>0</v>
      </c>
      <c r="AA207" s="18">
        <v>0</v>
      </c>
      <c r="AB207" s="18">
        <f>IF(AND($P$210=X207,$Z$20&gt;=$AA$20),100,0)</f>
        <v>0</v>
      </c>
    </row>
    <row r="208" spans="14:28" s="17" customFormat="1" ht="0.95" customHeight="1" x14ac:dyDescent="0.2">
      <c r="N208" s="18"/>
      <c r="O208" s="18"/>
      <c r="P208" s="19">
        <f>SUM(P204:P207)</f>
        <v>360</v>
      </c>
      <c r="Q208" s="21"/>
      <c r="R208" s="20"/>
      <c r="S208" s="18">
        <f>S207+1</f>
        <v>14</v>
      </c>
      <c r="T208" s="18">
        <f>IF(AND($P$200=S208,$Z$25&lt;$AA$25),100,0)</f>
        <v>0</v>
      </c>
      <c r="U208" s="18">
        <v>0</v>
      </c>
      <c r="V208" s="18">
        <v>0</v>
      </c>
      <c r="W208" s="18">
        <f>IF(AND($P$200=S208,$Z$25&gt;=$AA$25),100,0)</f>
        <v>0</v>
      </c>
      <c r="X208" s="18">
        <f>X207+1</f>
        <v>14</v>
      </c>
      <c r="Y208" s="18">
        <f>IF(AND($P$210=X208,$Z$20&lt;$AA$20),100,0)</f>
        <v>0</v>
      </c>
      <c r="Z208" s="18">
        <v>0</v>
      </c>
      <c r="AA208" s="18">
        <v>0</v>
      </c>
      <c r="AB208" s="18">
        <f>IF(AND($P$210=X208,$Z$20&gt;=$AA$20),100,0)</f>
        <v>0</v>
      </c>
    </row>
    <row r="209" spans="14:28" s="17" customFormat="1" ht="0.95" customHeight="1" x14ac:dyDescent="0.2">
      <c r="N209" s="18"/>
      <c r="O209" s="18"/>
      <c r="P209" s="19"/>
      <c r="Q209" s="18"/>
      <c r="R209" s="18"/>
      <c r="S209" s="18">
        <f>S208+1</f>
        <v>15</v>
      </c>
      <c r="T209" s="18">
        <f>IF(AND($P$200=S209,$Z$25&lt;$AA$25),100,0)</f>
        <v>0</v>
      </c>
      <c r="U209" s="18">
        <v>0</v>
      </c>
      <c r="V209" s="18">
        <v>0</v>
      </c>
      <c r="W209" s="18">
        <f>IF(AND($P$200=S209,$Z$25&gt;=$AA$25),100,0)</f>
        <v>0</v>
      </c>
      <c r="X209" s="18">
        <f>X208+1</f>
        <v>15</v>
      </c>
      <c r="Y209" s="18">
        <f>IF(AND($P$210=X209,$Z$20&lt;$AA$20),100,0)</f>
        <v>0</v>
      </c>
      <c r="Z209" s="18">
        <v>0</v>
      </c>
      <c r="AA209" s="18">
        <v>0</v>
      </c>
      <c r="AB209" s="18">
        <f>IF(AND($P$210=X209,$Z$20&gt;=$AA$20),100,0)</f>
        <v>0</v>
      </c>
    </row>
    <row r="210" spans="14:28" s="17" customFormat="1" ht="0.95" customHeight="1" x14ac:dyDescent="0.2">
      <c r="N210" s="18"/>
      <c r="O210" s="18"/>
      <c r="P210" s="19">
        <f>INT((P203+1.5)/3)</f>
        <v>-13</v>
      </c>
      <c r="Q210" s="18"/>
      <c r="R210" s="18"/>
      <c r="S210" s="18">
        <f>S209+1</f>
        <v>16</v>
      </c>
      <c r="T210" s="18">
        <v>0</v>
      </c>
      <c r="U210" s="18">
        <v>0</v>
      </c>
      <c r="V210" s="18">
        <v>0</v>
      </c>
      <c r="W210" s="18">
        <v>0</v>
      </c>
      <c r="X210" s="18">
        <f>X209+1</f>
        <v>16</v>
      </c>
      <c r="Y210" s="18">
        <v>0</v>
      </c>
      <c r="Z210" s="18">
        <v>0</v>
      </c>
      <c r="AA210" s="18">
        <v>0</v>
      </c>
      <c r="AB210" s="18">
        <v>0</v>
      </c>
    </row>
    <row r="211" spans="14:28" s="17" customFormat="1" ht="0.95" customHeight="1" x14ac:dyDescent="0.2">
      <c r="N211" s="18"/>
      <c r="O211" s="18"/>
      <c r="P211" s="18"/>
      <c r="Q211" s="18"/>
      <c r="R211" s="18"/>
      <c r="S211" s="18">
        <f>S210+1</f>
        <v>17</v>
      </c>
      <c r="T211" s="18">
        <v>0</v>
      </c>
      <c r="U211" s="18">
        <v>0</v>
      </c>
      <c r="V211" s="18">
        <v>0</v>
      </c>
      <c r="W211" s="18">
        <v>0</v>
      </c>
      <c r="X211" s="18">
        <f>X210+1</f>
        <v>17</v>
      </c>
      <c r="Y211" s="18">
        <v>0</v>
      </c>
      <c r="Z211" s="18">
        <v>0</v>
      </c>
      <c r="AA211" s="18">
        <v>0</v>
      </c>
      <c r="AB211" s="18">
        <v>0</v>
      </c>
    </row>
    <row r="212" spans="14:28" s="17" customFormat="1" ht="0.95" customHeight="1" x14ac:dyDescent="0.2">
      <c r="N212" s="18"/>
      <c r="O212" s="18"/>
      <c r="P212" s="18"/>
      <c r="Q212" s="18"/>
      <c r="R212" s="18"/>
      <c r="S212" s="18">
        <f>S211+1</f>
        <v>18</v>
      </c>
      <c r="T212" s="18">
        <v>0</v>
      </c>
      <c r="U212" s="18">
        <v>0</v>
      </c>
      <c r="V212" s="18">
        <v>0</v>
      </c>
      <c r="W212" s="18">
        <v>0</v>
      </c>
      <c r="X212" s="18">
        <f>X211+1</f>
        <v>18</v>
      </c>
      <c r="Y212" s="18">
        <v>0</v>
      </c>
      <c r="Z212" s="18">
        <v>0</v>
      </c>
      <c r="AA212" s="18">
        <v>0</v>
      </c>
      <c r="AB212" s="18">
        <v>0</v>
      </c>
    </row>
    <row r="213" spans="14:28" s="17" customFormat="1" ht="0.95" customHeight="1" x14ac:dyDescent="0.2">
      <c r="N213" s="18"/>
      <c r="O213" s="18"/>
      <c r="P213" s="18"/>
      <c r="Q213" s="18"/>
      <c r="R213" s="18"/>
      <c r="S213" s="18">
        <f>S212+1</f>
        <v>19</v>
      </c>
      <c r="T213" s="18">
        <v>0</v>
      </c>
      <c r="U213" s="18">
        <v>0</v>
      </c>
      <c r="V213" s="18">
        <v>0</v>
      </c>
      <c r="W213" s="18">
        <v>0</v>
      </c>
      <c r="X213" s="18">
        <f>X212+1</f>
        <v>19</v>
      </c>
      <c r="Y213" s="18">
        <v>0</v>
      </c>
      <c r="Z213" s="18">
        <v>0</v>
      </c>
      <c r="AA213" s="18">
        <v>0</v>
      </c>
      <c r="AB213" s="18">
        <v>0</v>
      </c>
    </row>
    <row r="214" spans="14:28" s="17" customFormat="1" ht="0.95" customHeight="1" x14ac:dyDescent="0.2">
      <c r="N214" s="18"/>
      <c r="O214" s="18"/>
      <c r="P214" s="18"/>
      <c r="Q214" s="18"/>
      <c r="R214" s="18"/>
      <c r="S214" s="18">
        <f>S213+1</f>
        <v>20</v>
      </c>
      <c r="T214" s="18">
        <v>0</v>
      </c>
      <c r="U214" s="18">
        <v>0</v>
      </c>
      <c r="V214" s="18">
        <v>0</v>
      </c>
      <c r="W214" s="18">
        <v>0</v>
      </c>
      <c r="X214" s="18">
        <f>X213+1</f>
        <v>20</v>
      </c>
      <c r="Y214" s="18">
        <v>0</v>
      </c>
      <c r="Z214" s="18">
        <v>0</v>
      </c>
      <c r="AA214" s="18">
        <v>0</v>
      </c>
      <c r="AB214" s="18">
        <v>0</v>
      </c>
    </row>
    <row r="215" spans="14:28" s="17" customFormat="1" ht="0.95" customHeight="1" x14ac:dyDescent="0.2">
      <c r="N215" s="18"/>
      <c r="O215" s="18"/>
      <c r="P215" s="18"/>
      <c r="Q215" s="18"/>
      <c r="R215" s="18"/>
      <c r="S215" s="18">
        <f>S214+1</f>
        <v>21</v>
      </c>
      <c r="T215" s="18">
        <v>0</v>
      </c>
      <c r="U215" s="18">
        <v>0</v>
      </c>
      <c r="V215" s="18">
        <v>0</v>
      </c>
      <c r="W215" s="18">
        <v>0</v>
      </c>
      <c r="X215" s="18">
        <f>X214+1</f>
        <v>21</v>
      </c>
      <c r="Y215" s="18">
        <v>0</v>
      </c>
      <c r="Z215" s="18">
        <v>0</v>
      </c>
      <c r="AA215" s="18">
        <v>0</v>
      </c>
      <c r="AB215" s="18">
        <v>0</v>
      </c>
    </row>
    <row r="216" spans="14:28" s="17" customFormat="1" ht="0.95" customHeight="1" x14ac:dyDescent="0.2">
      <c r="N216" s="18"/>
      <c r="O216" s="18"/>
      <c r="P216" s="18"/>
      <c r="Q216" s="18"/>
      <c r="R216" s="18"/>
      <c r="S216" s="18">
        <f>S215+1</f>
        <v>22</v>
      </c>
      <c r="T216" s="18">
        <v>0</v>
      </c>
      <c r="U216" s="18">
        <v>0</v>
      </c>
      <c r="V216" s="18">
        <v>0</v>
      </c>
      <c r="W216" s="18">
        <v>0</v>
      </c>
      <c r="X216" s="18">
        <f>X215+1</f>
        <v>22</v>
      </c>
      <c r="Y216" s="18">
        <v>0</v>
      </c>
      <c r="Z216" s="18">
        <v>0</v>
      </c>
      <c r="AA216" s="18">
        <v>0</v>
      </c>
      <c r="AB216" s="18">
        <v>0</v>
      </c>
    </row>
    <row r="217" spans="14:28" s="17" customFormat="1" ht="0.95" customHeight="1" x14ac:dyDescent="0.2">
      <c r="N217" s="18"/>
      <c r="O217" s="18"/>
      <c r="P217" s="18"/>
      <c r="Q217" s="18"/>
      <c r="R217" s="18"/>
      <c r="S217" s="18">
        <f>S216+1</f>
        <v>23</v>
      </c>
      <c r="T217" s="18">
        <v>0</v>
      </c>
      <c r="U217" s="18">
        <v>0</v>
      </c>
      <c r="V217" s="18">
        <v>0</v>
      </c>
      <c r="W217" s="18">
        <v>0</v>
      </c>
      <c r="X217" s="18">
        <f>X216+1</f>
        <v>23</v>
      </c>
      <c r="Y217" s="18">
        <v>0</v>
      </c>
      <c r="Z217" s="18">
        <v>0</v>
      </c>
      <c r="AA217" s="18">
        <v>0</v>
      </c>
      <c r="AB217" s="18">
        <v>0</v>
      </c>
    </row>
    <row r="218" spans="14:28" s="17" customFormat="1" ht="0.95" customHeight="1" x14ac:dyDescent="0.2">
      <c r="N218" s="18"/>
      <c r="O218" s="18"/>
      <c r="P218" s="18"/>
      <c r="Q218" s="18"/>
      <c r="R218" s="18"/>
      <c r="S218" s="18">
        <f>S217+1</f>
        <v>24</v>
      </c>
      <c r="T218" s="18">
        <v>0</v>
      </c>
      <c r="U218" s="18">
        <v>0</v>
      </c>
      <c r="V218" s="18">
        <v>0</v>
      </c>
      <c r="W218" s="18">
        <v>0</v>
      </c>
      <c r="X218" s="18">
        <f>X217+1</f>
        <v>24</v>
      </c>
      <c r="Y218" s="18">
        <v>0</v>
      </c>
      <c r="Z218" s="18">
        <v>0</v>
      </c>
      <c r="AA218" s="18">
        <v>0</v>
      </c>
      <c r="AB218" s="18">
        <v>0</v>
      </c>
    </row>
    <row r="219" spans="14:28" s="17" customFormat="1" ht="0.95" customHeight="1" x14ac:dyDescent="0.2">
      <c r="N219" s="18"/>
      <c r="O219" s="18"/>
      <c r="P219" s="18"/>
      <c r="Q219" s="18"/>
      <c r="R219" s="18"/>
      <c r="S219" s="18">
        <f>S218+1</f>
        <v>25</v>
      </c>
      <c r="T219" s="18">
        <v>0</v>
      </c>
      <c r="U219" s="18">
        <v>0</v>
      </c>
      <c r="V219" s="18">
        <v>0</v>
      </c>
      <c r="W219" s="18">
        <v>0</v>
      </c>
      <c r="X219" s="18">
        <f>X218+1</f>
        <v>25</v>
      </c>
      <c r="Y219" s="18">
        <v>0</v>
      </c>
      <c r="Z219" s="18">
        <v>0</v>
      </c>
      <c r="AA219" s="18">
        <v>0</v>
      </c>
      <c r="AB219" s="18">
        <v>0</v>
      </c>
    </row>
    <row r="220" spans="14:28" s="17" customFormat="1" ht="0.95" customHeight="1" x14ac:dyDescent="0.2">
      <c r="N220" s="18"/>
      <c r="O220" s="18"/>
      <c r="P220" s="18"/>
      <c r="Q220" s="18"/>
      <c r="R220" s="18"/>
      <c r="S220" s="18">
        <f>S219+1</f>
        <v>26</v>
      </c>
      <c r="T220" s="18">
        <v>0</v>
      </c>
      <c r="U220" s="18">
        <v>0</v>
      </c>
      <c r="V220" s="18">
        <v>0</v>
      </c>
      <c r="W220" s="18">
        <v>0</v>
      </c>
      <c r="X220" s="18">
        <f>X219+1</f>
        <v>26</v>
      </c>
      <c r="Y220" s="18">
        <v>0</v>
      </c>
      <c r="Z220" s="18">
        <v>0</v>
      </c>
      <c r="AA220" s="18">
        <v>0</v>
      </c>
      <c r="AB220" s="18">
        <v>0</v>
      </c>
    </row>
    <row r="221" spans="14:28" s="17" customFormat="1" ht="0.95" customHeight="1" x14ac:dyDescent="0.2">
      <c r="N221" s="18"/>
      <c r="O221" s="18"/>
      <c r="P221" s="18"/>
      <c r="Q221" s="18"/>
      <c r="R221" s="18"/>
      <c r="S221" s="18">
        <f>S220+1</f>
        <v>27</v>
      </c>
      <c r="T221" s="18">
        <v>0</v>
      </c>
      <c r="U221" s="18">
        <v>0</v>
      </c>
      <c r="V221" s="18">
        <v>0</v>
      </c>
      <c r="W221" s="18">
        <v>0</v>
      </c>
      <c r="X221" s="18">
        <f>X220+1</f>
        <v>27</v>
      </c>
      <c r="Y221" s="18">
        <v>0</v>
      </c>
      <c r="Z221" s="18">
        <v>0</v>
      </c>
      <c r="AA221" s="18">
        <v>0</v>
      </c>
      <c r="AB221" s="18">
        <v>0</v>
      </c>
    </row>
    <row r="222" spans="14:28" s="17" customFormat="1" ht="0.95" customHeight="1" x14ac:dyDescent="0.2">
      <c r="N222" s="18"/>
      <c r="O222" s="18"/>
      <c r="P222" s="18"/>
      <c r="Q222" s="18"/>
      <c r="R222" s="18"/>
      <c r="S222" s="18">
        <f>S221+1</f>
        <v>28</v>
      </c>
      <c r="T222" s="18">
        <v>0</v>
      </c>
      <c r="U222" s="18">
        <v>0</v>
      </c>
      <c r="V222" s="18">
        <v>0</v>
      </c>
      <c r="W222" s="18">
        <v>0</v>
      </c>
      <c r="X222" s="18">
        <f>X221+1</f>
        <v>28</v>
      </c>
      <c r="Y222" s="18">
        <v>0</v>
      </c>
      <c r="Z222" s="18">
        <v>0</v>
      </c>
      <c r="AA222" s="18">
        <v>0</v>
      </c>
      <c r="AB222" s="18">
        <v>0</v>
      </c>
    </row>
    <row r="223" spans="14:28" s="17" customFormat="1" ht="0.95" customHeight="1" x14ac:dyDescent="0.2">
      <c r="N223" s="18"/>
      <c r="O223" s="18"/>
      <c r="P223" s="18"/>
      <c r="Q223" s="18"/>
      <c r="R223" s="18"/>
      <c r="S223" s="18">
        <f>S222+1</f>
        <v>29</v>
      </c>
      <c r="T223" s="18">
        <v>0</v>
      </c>
      <c r="U223" s="18">
        <v>0</v>
      </c>
      <c r="V223" s="18">
        <v>0</v>
      </c>
      <c r="W223" s="18">
        <v>0</v>
      </c>
      <c r="X223" s="18">
        <f>X222+1</f>
        <v>29</v>
      </c>
      <c r="Y223" s="18">
        <v>0</v>
      </c>
      <c r="Z223" s="18">
        <v>0</v>
      </c>
      <c r="AA223" s="18">
        <v>0</v>
      </c>
      <c r="AB223" s="18">
        <v>0</v>
      </c>
    </row>
    <row r="224" spans="14:28" s="17" customFormat="1" ht="0.95" customHeight="1" x14ac:dyDescent="0.2">
      <c r="N224" s="18"/>
      <c r="O224" s="18"/>
      <c r="P224" s="18"/>
      <c r="Q224" s="18"/>
      <c r="R224" s="18"/>
      <c r="S224" s="18">
        <f>S223+1</f>
        <v>30</v>
      </c>
      <c r="T224" s="18">
        <v>0</v>
      </c>
      <c r="U224" s="18">
        <v>0</v>
      </c>
      <c r="V224" s="18">
        <v>0</v>
      </c>
      <c r="W224" s="18">
        <v>0</v>
      </c>
      <c r="X224" s="18">
        <f>X223+1</f>
        <v>30</v>
      </c>
      <c r="Y224" s="18">
        <v>0</v>
      </c>
      <c r="Z224" s="18">
        <v>0</v>
      </c>
      <c r="AA224" s="18">
        <v>0</v>
      </c>
      <c r="AB224" s="18">
        <v>0</v>
      </c>
    </row>
    <row r="225" spans="14:28" s="17" customFormat="1" ht="0.95" customHeight="1" x14ac:dyDescent="0.2">
      <c r="N225" s="18"/>
      <c r="O225" s="18"/>
      <c r="P225" s="18"/>
      <c r="Q225" s="18"/>
      <c r="R225" s="18"/>
      <c r="S225" s="18">
        <f>S224+1</f>
        <v>31</v>
      </c>
      <c r="T225" s="18">
        <v>0</v>
      </c>
      <c r="U225" s="18">
        <v>0</v>
      </c>
      <c r="V225" s="18">
        <v>0</v>
      </c>
      <c r="W225" s="18">
        <v>0</v>
      </c>
      <c r="X225" s="18">
        <f>X224+1</f>
        <v>31</v>
      </c>
      <c r="Y225" s="18">
        <v>0</v>
      </c>
      <c r="Z225" s="18">
        <v>0</v>
      </c>
      <c r="AA225" s="18">
        <v>0</v>
      </c>
      <c r="AB225" s="18">
        <v>0</v>
      </c>
    </row>
    <row r="226" spans="14:28" s="17" customFormat="1" ht="0.95" customHeight="1" x14ac:dyDescent="0.2">
      <c r="N226" s="18"/>
      <c r="O226" s="18"/>
      <c r="P226" s="18"/>
      <c r="Q226" s="18"/>
      <c r="R226" s="18"/>
      <c r="S226" s="18">
        <f>S225+1</f>
        <v>32</v>
      </c>
      <c r="T226" s="18">
        <v>0</v>
      </c>
      <c r="U226" s="18">
        <v>0</v>
      </c>
      <c r="V226" s="18">
        <v>0</v>
      </c>
      <c r="W226" s="18">
        <v>0</v>
      </c>
      <c r="X226" s="18">
        <f>X225+1</f>
        <v>32</v>
      </c>
      <c r="Y226" s="18">
        <v>0</v>
      </c>
      <c r="Z226" s="18">
        <v>0</v>
      </c>
      <c r="AA226" s="18">
        <v>0</v>
      </c>
      <c r="AB226" s="18">
        <v>0</v>
      </c>
    </row>
    <row r="227" spans="14:28" s="17" customFormat="1" ht="0.95" customHeight="1" x14ac:dyDescent="0.2">
      <c r="N227" s="18"/>
      <c r="O227" s="18"/>
      <c r="P227" s="18"/>
      <c r="Q227" s="18"/>
      <c r="R227" s="18"/>
      <c r="S227" s="18">
        <f>S226+1</f>
        <v>33</v>
      </c>
      <c r="T227" s="18">
        <v>0</v>
      </c>
      <c r="U227" s="18">
        <v>0</v>
      </c>
      <c r="V227" s="18">
        <v>0</v>
      </c>
      <c r="W227" s="18">
        <v>0</v>
      </c>
      <c r="X227" s="18">
        <f>X226+1</f>
        <v>33</v>
      </c>
      <c r="Y227" s="18">
        <v>0</v>
      </c>
      <c r="Z227" s="18">
        <v>0</v>
      </c>
      <c r="AA227" s="18">
        <v>0</v>
      </c>
      <c r="AB227" s="18">
        <v>0</v>
      </c>
    </row>
    <row r="228" spans="14:28" s="17" customFormat="1" ht="0.95" customHeight="1" x14ac:dyDescent="0.2">
      <c r="N228" s="18"/>
      <c r="O228" s="18"/>
      <c r="P228" s="18"/>
      <c r="Q228" s="18"/>
      <c r="R228" s="18"/>
      <c r="S228" s="18">
        <f>S227+1</f>
        <v>34</v>
      </c>
      <c r="T228" s="18">
        <v>0</v>
      </c>
      <c r="U228" s="18">
        <v>0</v>
      </c>
      <c r="V228" s="18">
        <v>0</v>
      </c>
      <c r="W228" s="18">
        <v>0</v>
      </c>
      <c r="X228" s="18">
        <f>X227+1</f>
        <v>34</v>
      </c>
      <c r="Y228" s="18">
        <v>0</v>
      </c>
      <c r="Z228" s="18">
        <v>0</v>
      </c>
      <c r="AA228" s="18">
        <v>0</v>
      </c>
      <c r="AB228" s="18">
        <v>0</v>
      </c>
    </row>
    <row r="229" spans="14:28" s="17" customFormat="1" ht="0.95" customHeight="1" x14ac:dyDescent="0.2">
      <c r="N229" s="18"/>
      <c r="O229" s="18"/>
      <c r="P229" s="18"/>
      <c r="Q229" s="18"/>
      <c r="R229" s="18"/>
      <c r="S229" s="18">
        <f>S228+1</f>
        <v>35</v>
      </c>
      <c r="T229" s="18">
        <v>0</v>
      </c>
      <c r="U229" s="18">
        <v>0</v>
      </c>
      <c r="V229" s="18">
        <v>0</v>
      </c>
      <c r="W229" s="18">
        <v>0</v>
      </c>
      <c r="X229" s="18">
        <f>X228+1</f>
        <v>35</v>
      </c>
      <c r="Y229" s="18">
        <v>0</v>
      </c>
      <c r="Z229" s="18">
        <v>0</v>
      </c>
      <c r="AA229" s="18">
        <v>0</v>
      </c>
      <c r="AB229" s="18">
        <v>0</v>
      </c>
    </row>
    <row r="230" spans="14:28" s="17" customFormat="1" ht="0.95" customHeight="1" x14ac:dyDescent="0.2">
      <c r="N230" s="18"/>
      <c r="O230" s="18"/>
      <c r="P230" s="18"/>
      <c r="Q230" s="18"/>
      <c r="R230" s="18"/>
      <c r="S230" s="18">
        <f>S229+1</f>
        <v>36</v>
      </c>
      <c r="T230" s="18">
        <v>0</v>
      </c>
      <c r="U230" s="18">
        <v>0</v>
      </c>
      <c r="V230" s="18">
        <v>0</v>
      </c>
      <c r="W230" s="18">
        <v>0</v>
      </c>
      <c r="X230" s="18">
        <f>X229+1</f>
        <v>36</v>
      </c>
      <c r="Y230" s="18">
        <v>0</v>
      </c>
      <c r="Z230" s="18">
        <v>0</v>
      </c>
      <c r="AA230" s="18">
        <v>0</v>
      </c>
      <c r="AB230" s="18">
        <v>0</v>
      </c>
    </row>
    <row r="231" spans="14:28" s="17" customFormat="1" ht="0.95" customHeight="1" x14ac:dyDescent="0.2">
      <c r="N231" s="18"/>
      <c r="O231" s="18"/>
      <c r="P231" s="18"/>
      <c r="Q231" s="18"/>
      <c r="R231" s="18"/>
      <c r="S231" s="18">
        <f>S230+1</f>
        <v>37</v>
      </c>
      <c r="T231" s="18">
        <v>0</v>
      </c>
      <c r="U231" s="18">
        <v>0</v>
      </c>
      <c r="V231" s="18">
        <v>0</v>
      </c>
      <c r="W231" s="18">
        <v>0</v>
      </c>
      <c r="X231" s="18">
        <f>X230+1</f>
        <v>37</v>
      </c>
      <c r="Y231" s="18">
        <v>0</v>
      </c>
      <c r="Z231" s="18">
        <v>0</v>
      </c>
      <c r="AA231" s="18">
        <v>0</v>
      </c>
      <c r="AB231" s="18">
        <v>0</v>
      </c>
    </row>
    <row r="232" spans="14:28" s="17" customFormat="1" ht="0.95" customHeight="1" x14ac:dyDescent="0.2">
      <c r="N232" s="18"/>
      <c r="O232" s="18"/>
      <c r="P232" s="18"/>
      <c r="Q232" s="18"/>
      <c r="R232" s="18"/>
      <c r="S232" s="18">
        <f>S231+1</f>
        <v>38</v>
      </c>
      <c r="T232" s="18">
        <v>0</v>
      </c>
      <c r="U232" s="18">
        <v>0</v>
      </c>
      <c r="V232" s="18">
        <v>0</v>
      </c>
      <c r="W232" s="18">
        <v>0</v>
      </c>
      <c r="X232" s="18">
        <f>X231+1</f>
        <v>38</v>
      </c>
      <c r="Y232" s="18">
        <v>0</v>
      </c>
      <c r="Z232" s="18">
        <v>0</v>
      </c>
      <c r="AA232" s="18">
        <v>0</v>
      </c>
      <c r="AB232" s="18">
        <v>0</v>
      </c>
    </row>
    <row r="233" spans="14:28" s="17" customFormat="1" ht="0.95" customHeight="1" x14ac:dyDescent="0.2">
      <c r="N233" s="18"/>
      <c r="O233" s="18"/>
      <c r="P233" s="18"/>
      <c r="Q233" s="18"/>
      <c r="R233" s="18"/>
      <c r="S233" s="18">
        <f>S232+1</f>
        <v>39</v>
      </c>
      <c r="T233" s="18">
        <v>0</v>
      </c>
      <c r="U233" s="18">
        <v>0</v>
      </c>
      <c r="V233" s="18">
        <v>0</v>
      </c>
      <c r="W233" s="18">
        <v>0</v>
      </c>
      <c r="X233" s="18">
        <f>X232+1</f>
        <v>39</v>
      </c>
      <c r="Y233" s="18">
        <v>0</v>
      </c>
      <c r="Z233" s="18">
        <v>0</v>
      </c>
      <c r="AA233" s="18">
        <v>0</v>
      </c>
      <c r="AB233" s="18">
        <v>0</v>
      </c>
    </row>
    <row r="234" spans="14:28" s="17" customFormat="1" ht="0.95" customHeight="1" x14ac:dyDescent="0.2">
      <c r="N234" s="18"/>
      <c r="O234" s="18"/>
      <c r="P234" s="18"/>
      <c r="Q234" s="18"/>
      <c r="R234" s="18"/>
      <c r="S234" s="18">
        <f>S233+1</f>
        <v>40</v>
      </c>
      <c r="T234" s="18">
        <v>0</v>
      </c>
      <c r="U234" s="18">
        <v>0</v>
      </c>
      <c r="V234" s="18">
        <v>0</v>
      </c>
      <c r="W234" s="18">
        <v>0</v>
      </c>
      <c r="X234" s="18">
        <f>X233+1</f>
        <v>40</v>
      </c>
      <c r="Y234" s="18">
        <v>0</v>
      </c>
      <c r="Z234" s="18">
        <v>0</v>
      </c>
      <c r="AA234" s="18">
        <v>0</v>
      </c>
      <c r="AB234" s="18">
        <v>0</v>
      </c>
    </row>
    <row r="235" spans="14:28" s="17" customFormat="1" ht="0.95" customHeight="1" x14ac:dyDescent="0.2">
      <c r="N235" s="18"/>
      <c r="O235" s="18"/>
      <c r="P235" s="18"/>
      <c r="Q235" s="18"/>
      <c r="R235" s="18"/>
      <c r="S235" s="18">
        <f>S234+1</f>
        <v>41</v>
      </c>
      <c r="T235" s="18">
        <v>0</v>
      </c>
      <c r="U235" s="18">
        <v>0</v>
      </c>
      <c r="V235" s="18">
        <v>0</v>
      </c>
      <c r="W235" s="18">
        <v>0</v>
      </c>
      <c r="X235" s="18">
        <f>X234+1</f>
        <v>41</v>
      </c>
      <c r="Y235" s="18">
        <v>0</v>
      </c>
      <c r="Z235" s="18">
        <v>0</v>
      </c>
      <c r="AA235" s="18">
        <v>0</v>
      </c>
      <c r="AB235" s="18">
        <v>0</v>
      </c>
    </row>
    <row r="236" spans="14:28" s="17" customFormat="1" ht="0.95" customHeight="1" x14ac:dyDescent="0.2">
      <c r="N236" s="18"/>
      <c r="O236" s="18"/>
      <c r="P236" s="18"/>
      <c r="Q236" s="18"/>
      <c r="R236" s="18"/>
      <c r="S236" s="18">
        <f>S235+1</f>
        <v>42</v>
      </c>
      <c r="T236" s="18">
        <v>0</v>
      </c>
      <c r="U236" s="18">
        <v>0</v>
      </c>
      <c r="V236" s="18">
        <v>0</v>
      </c>
      <c r="W236" s="18">
        <v>0</v>
      </c>
      <c r="X236" s="18">
        <f>X235+1</f>
        <v>42</v>
      </c>
      <c r="Y236" s="18">
        <v>0</v>
      </c>
      <c r="Z236" s="18">
        <v>0</v>
      </c>
      <c r="AA236" s="18">
        <v>0</v>
      </c>
      <c r="AB236" s="18">
        <v>0</v>
      </c>
    </row>
    <row r="237" spans="14:28" s="17" customFormat="1" ht="0.95" customHeight="1" x14ac:dyDescent="0.2">
      <c r="N237" s="18"/>
      <c r="O237" s="18"/>
      <c r="P237" s="18"/>
      <c r="Q237" s="18"/>
      <c r="R237" s="18"/>
      <c r="S237" s="18">
        <f>S236+1</f>
        <v>43</v>
      </c>
      <c r="T237" s="18">
        <v>0</v>
      </c>
      <c r="U237" s="18">
        <v>0</v>
      </c>
      <c r="V237" s="18">
        <v>0</v>
      </c>
      <c r="W237" s="18">
        <v>0</v>
      </c>
      <c r="X237" s="18">
        <f>X236+1</f>
        <v>43</v>
      </c>
      <c r="Y237" s="18">
        <v>0</v>
      </c>
      <c r="Z237" s="18">
        <v>0</v>
      </c>
      <c r="AA237" s="18">
        <v>0</v>
      </c>
      <c r="AB237" s="18">
        <v>0</v>
      </c>
    </row>
    <row r="238" spans="14:28" s="17" customFormat="1" ht="0.95" customHeight="1" x14ac:dyDescent="0.2">
      <c r="N238" s="18"/>
      <c r="O238" s="18"/>
      <c r="P238" s="18"/>
      <c r="Q238" s="18"/>
      <c r="R238" s="18"/>
      <c r="S238" s="18">
        <f>S237+1</f>
        <v>44</v>
      </c>
      <c r="T238" s="18">
        <v>0</v>
      </c>
      <c r="U238" s="18">
        <v>0</v>
      </c>
      <c r="V238" s="18">
        <v>0</v>
      </c>
      <c r="W238" s="18">
        <v>0</v>
      </c>
      <c r="X238" s="18">
        <f>X237+1</f>
        <v>44</v>
      </c>
      <c r="Y238" s="18">
        <v>0</v>
      </c>
      <c r="Z238" s="18">
        <v>0</v>
      </c>
      <c r="AA238" s="18">
        <v>0</v>
      </c>
      <c r="AB238" s="18">
        <v>0</v>
      </c>
    </row>
    <row r="239" spans="14:28" s="17" customFormat="1" ht="0.95" customHeight="1" x14ac:dyDescent="0.2">
      <c r="N239" s="18"/>
      <c r="O239" s="18"/>
      <c r="P239" s="18"/>
      <c r="Q239" s="18"/>
      <c r="R239" s="18"/>
      <c r="S239" s="18">
        <f>S238+1</f>
        <v>45</v>
      </c>
      <c r="T239" s="18">
        <v>0</v>
      </c>
      <c r="U239" s="18">
        <v>0</v>
      </c>
      <c r="V239" s="18">
        <v>0</v>
      </c>
      <c r="W239" s="18">
        <v>0</v>
      </c>
      <c r="X239" s="18">
        <f>X238+1</f>
        <v>45</v>
      </c>
      <c r="Y239" s="18">
        <v>0</v>
      </c>
      <c r="Z239" s="18">
        <v>0</v>
      </c>
      <c r="AA239" s="18">
        <v>0</v>
      </c>
      <c r="AB239" s="18">
        <v>0</v>
      </c>
    </row>
    <row r="240" spans="14:28" s="17" customFormat="1" ht="0.95" customHeight="1" x14ac:dyDescent="0.2">
      <c r="N240" s="18"/>
      <c r="O240" s="18"/>
      <c r="P240" s="18"/>
      <c r="Q240" s="18"/>
      <c r="R240" s="18"/>
      <c r="S240" s="18">
        <f>S239+1</f>
        <v>46</v>
      </c>
      <c r="T240" s="18">
        <v>0</v>
      </c>
      <c r="U240" s="18">
        <v>0</v>
      </c>
      <c r="V240" s="18">
        <v>0</v>
      </c>
      <c r="W240" s="18">
        <v>0</v>
      </c>
      <c r="X240" s="18">
        <f>X239+1</f>
        <v>46</v>
      </c>
      <c r="Y240" s="18">
        <v>0</v>
      </c>
      <c r="Z240" s="18">
        <v>0</v>
      </c>
      <c r="AA240" s="18">
        <v>0</v>
      </c>
      <c r="AB240" s="18">
        <v>0</v>
      </c>
    </row>
    <row r="241" spans="14:28" s="17" customFormat="1" ht="0.95" customHeight="1" x14ac:dyDescent="0.2">
      <c r="N241" s="18"/>
      <c r="O241" s="18"/>
      <c r="P241" s="18"/>
      <c r="Q241" s="18"/>
      <c r="R241" s="18"/>
      <c r="S241" s="18">
        <f>S240+1</f>
        <v>47</v>
      </c>
      <c r="T241" s="18">
        <v>0</v>
      </c>
      <c r="U241" s="18">
        <v>0</v>
      </c>
      <c r="V241" s="18">
        <v>0</v>
      </c>
      <c r="W241" s="18">
        <v>0</v>
      </c>
      <c r="X241" s="18">
        <f>X240+1</f>
        <v>47</v>
      </c>
      <c r="Y241" s="18">
        <v>0</v>
      </c>
      <c r="Z241" s="18">
        <v>0</v>
      </c>
      <c r="AA241" s="18">
        <v>0</v>
      </c>
      <c r="AB241" s="18">
        <v>0</v>
      </c>
    </row>
    <row r="242" spans="14:28" s="17" customFormat="1" ht="0.95" customHeight="1" x14ac:dyDescent="0.2">
      <c r="N242" s="18"/>
      <c r="O242" s="18"/>
      <c r="P242" s="18"/>
      <c r="Q242" s="18"/>
      <c r="R242" s="18"/>
      <c r="S242" s="18">
        <f>S241+1</f>
        <v>48</v>
      </c>
      <c r="T242" s="18">
        <v>0</v>
      </c>
      <c r="U242" s="18">
        <v>0</v>
      </c>
      <c r="V242" s="18">
        <v>0</v>
      </c>
      <c r="W242" s="18">
        <v>0</v>
      </c>
      <c r="X242" s="18">
        <f>X241+1</f>
        <v>48</v>
      </c>
      <c r="Y242" s="18">
        <v>0</v>
      </c>
      <c r="Z242" s="18">
        <v>0</v>
      </c>
      <c r="AA242" s="18">
        <v>0</v>
      </c>
      <c r="AB242" s="18">
        <v>0</v>
      </c>
    </row>
    <row r="243" spans="14:28" s="17" customFormat="1" ht="0.95" customHeight="1" x14ac:dyDescent="0.2">
      <c r="N243" s="18"/>
      <c r="O243" s="18"/>
      <c r="P243" s="18"/>
      <c r="Q243" s="18"/>
      <c r="R243" s="18"/>
      <c r="S243" s="18">
        <f>S242+1</f>
        <v>49</v>
      </c>
      <c r="T243" s="18">
        <v>0</v>
      </c>
      <c r="U243" s="18">
        <v>0</v>
      </c>
      <c r="V243" s="18">
        <v>0</v>
      </c>
      <c r="W243" s="18">
        <v>0</v>
      </c>
      <c r="X243" s="18">
        <f>X242+1</f>
        <v>49</v>
      </c>
      <c r="Y243" s="18">
        <v>0</v>
      </c>
      <c r="Z243" s="18">
        <v>0</v>
      </c>
      <c r="AA243" s="18">
        <v>0</v>
      </c>
      <c r="AB243" s="18">
        <v>0</v>
      </c>
    </row>
    <row r="244" spans="14:28" s="17" customFormat="1" ht="0.95" customHeight="1" x14ac:dyDescent="0.2">
      <c r="N244" s="18"/>
      <c r="O244" s="18"/>
      <c r="P244" s="18"/>
      <c r="Q244" s="18"/>
      <c r="R244" s="18"/>
      <c r="S244" s="18">
        <f>S243+1</f>
        <v>50</v>
      </c>
      <c r="T244" s="18">
        <v>0</v>
      </c>
      <c r="U244" s="18">
        <v>0</v>
      </c>
      <c r="V244" s="18">
        <v>0</v>
      </c>
      <c r="W244" s="18">
        <v>0</v>
      </c>
      <c r="X244" s="18">
        <f>X243+1</f>
        <v>50</v>
      </c>
      <c r="Y244" s="18">
        <v>0</v>
      </c>
      <c r="Z244" s="18">
        <v>0</v>
      </c>
      <c r="AA244" s="18">
        <v>0</v>
      </c>
      <c r="AB244" s="18">
        <v>0</v>
      </c>
    </row>
    <row r="245" spans="14:28" s="17" customFormat="1" ht="0.95" customHeight="1" x14ac:dyDescent="0.2">
      <c r="N245" s="18"/>
      <c r="O245" s="18"/>
      <c r="P245" s="18"/>
      <c r="Q245" s="18"/>
      <c r="R245" s="18"/>
      <c r="S245" s="18">
        <f>S244+1</f>
        <v>51</v>
      </c>
      <c r="T245" s="18">
        <v>0</v>
      </c>
      <c r="U245" s="18">
        <v>0</v>
      </c>
      <c r="V245" s="18">
        <v>0</v>
      </c>
      <c r="W245" s="18">
        <v>0</v>
      </c>
      <c r="X245" s="18">
        <f>X244+1</f>
        <v>51</v>
      </c>
      <c r="Y245" s="18">
        <v>0</v>
      </c>
      <c r="Z245" s="18">
        <v>0</v>
      </c>
      <c r="AA245" s="18">
        <v>0</v>
      </c>
      <c r="AB245" s="18">
        <v>0</v>
      </c>
    </row>
    <row r="246" spans="14:28" s="17" customFormat="1" ht="0.95" customHeight="1" x14ac:dyDescent="0.2">
      <c r="N246" s="18"/>
      <c r="O246" s="18"/>
      <c r="P246" s="18"/>
      <c r="Q246" s="18"/>
      <c r="R246" s="18"/>
      <c r="S246" s="18">
        <f>S245+1</f>
        <v>52</v>
      </c>
      <c r="T246" s="18">
        <v>0</v>
      </c>
      <c r="U246" s="18">
        <v>0</v>
      </c>
      <c r="V246" s="18">
        <v>0</v>
      </c>
      <c r="W246" s="18">
        <v>0</v>
      </c>
      <c r="X246" s="18">
        <f>X245+1</f>
        <v>52</v>
      </c>
      <c r="Y246" s="18">
        <v>0</v>
      </c>
      <c r="Z246" s="18">
        <v>0</v>
      </c>
      <c r="AA246" s="18">
        <v>0</v>
      </c>
      <c r="AB246" s="18">
        <v>0</v>
      </c>
    </row>
    <row r="247" spans="14:28" s="17" customFormat="1" ht="0.95" customHeight="1" x14ac:dyDescent="0.2">
      <c r="N247" s="18"/>
      <c r="O247" s="18"/>
      <c r="P247" s="18"/>
      <c r="Q247" s="18"/>
      <c r="R247" s="18"/>
      <c r="S247" s="18">
        <f>S246+1</f>
        <v>53</v>
      </c>
      <c r="T247" s="18">
        <v>0</v>
      </c>
      <c r="U247" s="18">
        <v>0</v>
      </c>
      <c r="V247" s="18">
        <v>0</v>
      </c>
      <c r="W247" s="18">
        <v>0</v>
      </c>
      <c r="X247" s="18">
        <f>X246+1</f>
        <v>53</v>
      </c>
      <c r="Y247" s="18">
        <v>0</v>
      </c>
      <c r="Z247" s="18">
        <v>0</v>
      </c>
      <c r="AA247" s="18">
        <v>0</v>
      </c>
      <c r="AB247" s="18">
        <v>0</v>
      </c>
    </row>
    <row r="248" spans="14:28" s="17" customFormat="1" ht="0.95" customHeight="1" x14ac:dyDescent="0.2">
      <c r="N248" s="18"/>
      <c r="O248" s="18"/>
      <c r="P248" s="18"/>
      <c r="Q248" s="18"/>
      <c r="R248" s="18"/>
      <c r="S248" s="18">
        <f>S247+1</f>
        <v>54</v>
      </c>
      <c r="T248" s="18">
        <v>0</v>
      </c>
      <c r="U248" s="18">
        <v>0</v>
      </c>
      <c r="V248" s="18">
        <v>0</v>
      </c>
      <c r="W248" s="18">
        <v>0</v>
      </c>
      <c r="X248" s="18">
        <f>X247+1</f>
        <v>54</v>
      </c>
      <c r="Y248" s="18">
        <v>0</v>
      </c>
      <c r="Z248" s="18">
        <v>0</v>
      </c>
      <c r="AA248" s="18">
        <v>0</v>
      </c>
      <c r="AB248" s="18">
        <v>0</v>
      </c>
    </row>
    <row r="249" spans="14:28" s="17" customFormat="1" ht="0.95" customHeight="1" x14ac:dyDescent="0.2">
      <c r="N249" s="18"/>
      <c r="O249" s="18"/>
      <c r="P249" s="18"/>
      <c r="Q249" s="18"/>
      <c r="R249" s="18"/>
      <c r="S249" s="18">
        <f>S248+1</f>
        <v>55</v>
      </c>
      <c r="T249" s="18">
        <v>0</v>
      </c>
      <c r="U249" s="18">
        <v>0</v>
      </c>
      <c r="V249" s="18">
        <v>0</v>
      </c>
      <c r="W249" s="18">
        <v>0</v>
      </c>
      <c r="X249" s="18">
        <f>X248+1</f>
        <v>55</v>
      </c>
      <c r="Y249" s="18">
        <v>0</v>
      </c>
      <c r="Z249" s="18">
        <v>0</v>
      </c>
      <c r="AA249" s="18">
        <v>0</v>
      </c>
      <c r="AB249" s="18">
        <v>0</v>
      </c>
    </row>
    <row r="250" spans="14:28" s="17" customFormat="1" ht="0.95" customHeight="1" x14ac:dyDescent="0.2">
      <c r="N250" s="18"/>
      <c r="O250" s="18"/>
      <c r="P250" s="18"/>
      <c r="Q250" s="18"/>
      <c r="R250" s="18"/>
      <c r="S250" s="18">
        <f>S249+1</f>
        <v>56</v>
      </c>
      <c r="T250" s="18">
        <v>0</v>
      </c>
      <c r="U250" s="18">
        <v>0</v>
      </c>
      <c r="V250" s="18">
        <v>0</v>
      </c>
      <c r="W250" s="18">
        <v>0</v>
      </c>
      <c r="X250" s="18">
        <f>X249+1</f>
        <v>56</v>
      </c>
      <c r="Y250" s="18">
        <v>0</v>
      </c>
      <c r="Z250" s="18">
        <v>0</v>
      </c>
      <c r="AA250" s="18">
        <v>0</v>
      </c>
      <c r="AB250" s="18">
        <v>0</v>
      </c>
    </row>
    <row r="251" spans="14:28" s="17" customFormat="1" ht="0.95" customHeight="1" x14ac:dyDescent="0.2">
      <c r="N251" s="18"/>
      <c r="O251" s="18"/>
      <c r="P251" s="18"/>
      <c r="Q251" s="18"/>
      <c r="R251" s="18"/>
      <c r="S251" s="18">
        <f>S250+1</f>
        <v>57</v>
      </c>
      <c r="T251" s="18">
        <v>0</v>
      </c>
      <c r="U251" s="18">
        <v>0</v>
      </c>
      <c r="V251" s="18">
        <v>0</v>
      </c>
      <c r="W251" s="18">
        <v>0</v>
      </c>
      <c r="X251" s="18">
        <f>X250+1</f>
        <v>57</v>
      </c>
      <c r="Y251" s="18">
        <v>0</v>
      </c>
      <c r="Z251" s="18">
        <v>0</v>
      </c>
      <c r="AA251" s="18">
        <v>0</v>
      </c>
      <c r="AB251" s="18">
        <v>0</v>
      </c>
    </row>
    <row r="252" spans="14:28" s="17" customFormat="1" ht="0.95" customHeight="1" x14ac:dyDescent="0.2">
      <c r="N252" s="18"/>
      <c r="O252" s="18"/>
      <c r="P252" s="18"/>
      <c r="Q252" s="18"/>
      <c r="R252" s="18"/>
      <c r="S252" s="18">
        <f>S251+1</f>
        <v>58</v>
      </c>
      <c r="T252" s="18">
        <v>0</v>
      </c>
      <c r="U252" s="18">
        <v>0</v>
      </c>
      <c r="V252" s="18">
        <v>0</v>
      </c>
      <c r="W252" s="18">
        <v>0</v>
      </c>
      <c r="X252" s="18">
        <f>X251+1</f>
        <v>58</v>
      </c>
      <c r="Y252" s="18">
        <v>0</v>
      </c>
      <c r="Z252" s="18">
        <v>0</v>
      </c>
      <c r="AA252" s="18">
        <v>0</v>
      </c>
      <c r="AB252" s="18">
        <v>0</v>
      </c>
    </row>
    <row r="253" spans="14:28" s="17" customFormat="1" ht="0.95" customHeight="1" x14ac:dyDescent="0.2">
      <c r="N253" s="18"/>
      <c r="O253" s="18"/>
      <c r="P253" s="18"/>
      <c r="Q253" s="18"/>
      <c r="R253" s="18"/>
      <c r="S253" s="18">
        <f>S252+1</f>
        <v>59</v>
      </c>
      <c r="T253" s="18">
        <v>0</v>
      </c>
      <c r="U253" s="18">
        <v>0</v>
      </c>
      <c r="V253" s="18">
        <v>0</v>
      </c>
      <c r="W253" s="18">
        <v>0</v>
      </c>
      <c r="X253" s="18">
        <f>X252+1</f>
        <v>59</v>
      </c>
      <c r="Y253" s="18">
        <v>0</v>
      </c>
      <c r="Z253" s="18">
        <v>0</v>
      </c>
      <c r="AA253" s="18">
        <v>0</v>
      </c>
      <c r="AB253" s="18">
        <v>0</v>
      </c>
    </row>
    <row r="254" spans="14:28" s="17" customFormat="1" ht="0.95" customHeight="1" x14ac:dyDescent="0.2">
      <c r="N254" s="18"/>
      <c r="O254" s="18"/>
      <c r="P254" s="18"/>
      <c r="Q254" s="18"/>
      <c r="R254" s="18"/>
      <c r="S254" s="18">
        <f>S253+1</f>
        <v>60</v>
      </c>
      <c r="T254" s="18">
        <v>0</v>
      </c>
      <c r="U254" s="18">
        <v>0</v>
      </c>
      <c r="V254" s="18">
        <v>0</v>
      </c>
      <c r="W254" s="18">
        <v>0</v>
      </c>
      <c r="X254" s="18">
        <f>X253+1</f>
        <v>60</v>
      </c>
      <c r="Y254" s="18">
        <v>0</v>
      </c>
      <c r="Z254" s="18">
        <v>0</v>
      </c>
      <c r="AA254" s="18">
        <v>0</v>
      </c>
      <c r="AB254" s="18">
        <v>0</v>
      </c>
    </row>
    <row r="255" spans="14:28" s="17" customFormat="1" ht="0.95" customHeight="1" x14ac:dyDescent="0.2">
      <c r="N255" s="18"/>
      <c r="O255" s="18"/>
      <c r="P255" s="18"/>
      <c r="Q255" s="18"/>
      <c r="R255" s="18"/>
      <c r="S255" s="18">
        <f>S254+1</f>
        <v>61</v>
      </c>
      <c r="T255" s="18">
        <v>0</v>
      </c>
      <c r="U255" s="18">
        <v>0</v>
      </c>
      <c r="V255" s="18">
        <v>0</v>
      </c>
      <c r="W255" s="18">
        <v>0</v>
      </c>
      <c r="X255" s="18">
        <f>X254+1</f>
        <v>61</v>
      </c>
      <c r="Y255" s="18">
        <v>0</v>
      </c>
      <c r="Z255" s="18">
        <v>0</v>
      </c>
      <c r="AA255" s="18">
        <v>0</v>
      </c>
      <c r="AB255" s="18">
        <v>0</v>
      </c>
    </row>
    <row r="256" spans="14:28" s="17" customFormat="1" ht="0.95" customHeight="1" x14ac:dyDescent="0.2">
      <c r="N256" s="18"/>
      <c r="O256" s="18"/>
      <c r="P256" s="18"/>
      <c r="Q256" s="18"/>
      <c r="R256" s="18"/>
      <c r="S256" s="18">
        <f>S255+1</f>
        <v>62</v>
      </c>
      <c r="T256" s="18">
        <v>0</v>
      </c>
      <c r="U256" s="18">
        <v>0</v>
      </c>
      <c r="V256" s="18">
        <v>0</v>
      </c>
      <c r="W256" s="18">
        <v>0</v>
      </c>
      <c r="X256" s="18">
        <f>X255+1</f>
        <v>62</v>
      </c>
      <c r="Y256" s="18">
        <v>0</v>
      </c>
      <c r="Z256" s="18">
        <v>0</v>
      </c>
      <c r="AA256" s="18">
        <v>0</v>
      </c>
      <c r="AB256" s="18">
        <v>0</v>
      </c>
    </row>
    <row r="257" spans="14:28" s="17" customFormat="1" ht="0.95" customHeight="1" x14ac:dyDescent="0.2">
      <c r="N257" s="18"/>
      <c r="O257" s="18"/>
      <c r="P257" s="18"/>
      <c r="Q257" s="18"/>
      <c r="R257" s="18"/>
      <c r="S257" s="18">
        <f>S256+1</f>
        <v>63</v>
      </c>
      <c r="T257" s="18">
        <v>0</v>
      </c>
      <c r="U257" s="18">
        <v>0</v>
      </c>
      <c r="V257" s="18">
        <v>0</v>
      </c>
      <c r="W257" s="18">
        <v>0</v>
      </c>
      <c r="X257" s="18">
        <f>X256+1</f>
        <v>63</v>
      </c>
      <c r="Y257" s="18">
        <v>0</v>
      </c>
      <c r="Z257" s="18">
        <v>0</v>
      </c>
      <c r="AA257" s="18">
        <v>0</v>
      </c>
      <c r="AB257" s="18">
        <v>0</v>
      </c>
    </row>
    <row r="258" spans="14:28" s="17" customFormat="1" ht="0.95" customHeight="1" x14ac:dyDescent="0.2">
      <c r="N258" s="18"/>
      <c r="O258" s="18"/>
      <c r="P258" s="18"/>
      <c r="Q258" s="18"/>
      <c r="R258" s="18"/>
      <c r="S258" s="18">
        <f>S257+1</f>
        <v>64</v>
      </c>
      <c r="T258" s="18">
        <v>0</v>
      </c>
      <c r="U258" s="18">
        <v>0</v>
      </c>
      <c r="V258" s="18">
        <v>0</v>
      </c>
      <c r="W258" s="18">
        <v>0</v>
      </c>
      <c r="X258" s="18">
        <f>X257+1</f>
        <v>64</v>
      </c>
      <c r="Y258" s="18">
        <v>0</v>
      </c>
      <c r="Z258" s="18">
        <v>0</v>
      </c>
      <c r="AA258" s="18">
        <v>0</v>
      </c>
      <c r="AB258" s="18">
        <v>0</v>
      </c>
    </row>
    <row r="259" spans="14:28" s="17" customFormat="1" ht="0.95" customHeight="1" x14ac:dyDescent="0.2">
      <c r="N259" s="18"/>
      <c r="O259" s="18"/>
      <c r="P259" s="18"/>
      <c r="Q259" s="18"/>
      <c r="R259" s="18"/>
      <c r="S259" s="18">
        <f>S258+1</f>
        <v>65</v>
      </c>
      <c r="T259" s="18">
        <v>0</v>
      </c>
      <c r="U259" s="18">
        <v>0</v>
      </c>
      <c r="V259" s="18">
        <v>0</v>
      </c>
      <c r="W259" s="18">
        <v>0</v>
      </c>
      <c r="X259" s="18">
        <f>X258+1</f>
        <v>65</v>
      </c>
      <c r="Y259" s="18">
        <v>0</v>
      </c>
      <c r="Z259" s="18">
        <v>0</v>
      </c>
      <c r="AA259" s="18">
        <v>0</v>
      </c>
      <c r="AB259" s="18">
        <v>0</v>
      </c>
    </row>
    <row r="260" spans="14:28" s="17" customFormat="1" ht="0.95" customHeight="1" x14ac:dyDescent="0.2">
      <c r="N260" s="18"/>
      <c r="O260" s="18"/>
      <c r="P260" s="19"/>
      <c r="Q260" s="18"/>
      <c r="R260" s="18"/>
      <c r="S260" s="18">
        <f>S259+1</f>
        <v>66</v>
      </c>
      <c r="T260" s="18">
        <v>0</v>
      </c>
      <c r="U260" s="18">
        <v>0</v>
      </c>
      <c r="V260" s="18">
        <v>0</v>
      </c>
      <c r="W260" s="18">
        <v>0</v>
      </c>
      <c r="X260" s="18">
        <f>X259+1</f>
        <v>66</v>
      </c>
      <c r="Y260" s="18">
        <v>0</v>
      </c>
      <c r="Z260" s="18">
        <v>0</v>
      </c>
      <c r="AA260" s="18">
        <v>0</v>
      </c>
      <c r="AB260" s="18">
        <v>0</v>
      </c>
    </row>
    <row r="261" spans="14:28" s="17" customFormat="1" ht="0.95" customHeight="1" x14ac:dyDescent="0.2">
      <c r="N261" s="18"/>
      <c r="O261" s="18"/>
      <c r="P261" s="18"/>
      <c r="Q261" s="18"/>
      <c r="R261" s="18"/>
      <c r="S261" s="18">
        <f>S260+1</f>
        <v>67</v>
      </c>
      <c r="T261" s="18">
        <v>0</v>
      </c>
      <c r="U261" s="18">
        <v>0</v>
      </c>
      <c r="V261" s="18">
        <v>0</v>
      </c>
      <c r="W261" s="18">
        <v>0</v>
      </c>
      <c r="X261" s="18">
        <f>X260+1</f>
        <v>67</v>
      </c>
      <c r="Y261" s="18">
        <v>0</v>
      </c>
      <c r="Z261" s="18">
        <v>0</v>
      </c>
      <c r="AA261" s="18">
        <v>0</v>
      </c>
      <c r="AB261" s="18">
        <v>0</v>
      </c>
    </row>
    <row r="262" spans="14:28" s="17" customFormat="1" ht="0.95" customHeight="1" x14ac:dyDescent="0.2">
      <c r="N262" s="18"/>
      <c r="O262" s="18"/>
      <c r="P262" s="18"/>
      <c r="Q262" s="18"/>
      <c r="R262" s="18"/>
      <c r="S262" s="18">
        <f>S261+1</f>
        <v>68</v>
      </c>
      <c r="T262" s="18">
        <v>0</v>
      </c>
      <c r="U262" s="18">
        <v>0</v>
      </c>
      <c r="V262" s="18">
        <v>0</v>
      </c>
      <c r="W262" s="18">
        <v>0</v>
      </c>
      <c r="X262" s="18">
        <f>X261+1</f>
        <v>68</v>
      </c>
      <c r="Y262" s="18">
        <v>0</v>
      </c>
      <c r="Z262" s="18">
        <v>0</v>
      </c>
      <c r="AA262" s="18">
        <v>0</v>
      </c>
      <c r="AB262" s="18">
        <v>0</v>
      </c>
    </row>
    <row r="263" spans="14:28" s="17" customFormat="1" ht="0.95" customHeight="1" x14ac:dyDescent="0.2">
      <c r="N263" s="18"/>
      <c r="O263" s="18"/>
      <c r="P263" s="18"/>
      <c r="Q263" s="18"/>
      <c r="R263" s="18"/>
      <c r="S263" s="18">
        <f>S262+1</f>
        <v>69</v>
      </c>
      <c r="T263" s="18">
        <v>0</v>
      </c>
      <c r="U263" s="18">
        <v>0</v>
      </c>
      <c r="V263" s="18">
        <v>0</v>
      </c>
      <c r="W263" s="18">
        <v>0</v>
      </c>
      <c r="X263" s="18">
        <f>X262+1</f>
        <v>69</v>
      </c>
      <c r="Y263" s="18">
        <v>0</v>
      </c>
      <c r="Z263" s="18">
        <v>0</v>
      </c>
      <c r="AA263" s="18">
        <v>0</v>
      </c>
      <c r="AB263" s="18">
        <v>0</v>
      </c>
    </row>
    <row r="264" spans="14:28" s="17" customFormat="1" ht="0.95" customHeight="1" x14ac:dyDescent="0.2">
      <c r="N264" s="18"/>
      <c r="O264" s="18"/>
      <c r="P264" s="18"/>
      <c r="Q264" s="18"/>
      <c r="R264" s="18"/>
      <c r="S264" s="18">
        <f>S263+1</f>
        <v>70</v>
      </c>
      <c r="T264" s="18">
        <v>0</v>
      </c>
      <c r="U264" s="18">
        <v>0</v>
      </c>
      <c r="V264" s="18">
        <v>0</v>
      </c>
      <c r="W264" s="18">
        <v>0</v>
      </c>
      <c r="X264" s="18">
        <f>X263+1</f>
        <v>70</v>
      </c>
      <c r="Y264" s="18">
        <v>0</v>
      </c>
      <c r="Z264" s="18">
        <v>0</v>
      </c>
      <c r="AA264" s="18">
        <v>0</v>
      </c>
      <c r="AB264" s="18">
        <v>0</v>
      </c>
    </row>
    <row r="265" spans="14:28" s="17" customFormat="1" ht="0.95" customHeight="1" x14ac:dyDescent="0.2">
      <c r="N265" s="18"/>
      <c r="O265" s="18"/>
      <c r="P265" s="18"/>
      <c r="Q265" s="18"/>
      <c r="R265" s="18"/>
      <c r="S265" s="18">
        <f>S264+1</f>
        <v>71</v>
      </c>
      <c r="T265" s="18">
        <v>0</v>
      </c>
      <c r="U265" s="18">
        <v>0</v>
      </c>
      <c r="V265" s="18">
        <v>0</v>
      </c>
      <c r="W265" s="18">
        <v>0</v>
      </c>
      <c r="X265" s="18">
        <f>X264+1</f>
        <v>71</v>
      </c>
      <c r="Y265" s="18">
        <v>0</v>
      </c>
      <c r="Z265" s="18">
        <v>0</v>
      </c>
      <c r="AA265" s="18">
        <v>0</v>
      </c>
      <c r="AB265" s="18">
        <v>0</v>
      </c>
    </row>
    <row r="266" spans="14:28" s="17" customFormat="1" ht="0.95" customHeight="1" x14ac:dyDescent="0.2">
      <c r="N266" s="18"/>
      <c r="O266" s="18"/>
      <c r="P266" s="18"/>
      <c r="Q266" s="18"/>
      <c r="R266" s="18"/>
      <c r="S266" s="18">
        <f>S265+1</f>
        <v>72</v>
      </c>
      <c r="T266" s="18">
        <v>0</v>
      </c>
      <c r="U266" s="18">
        <v>0</v>
      </c>
      <c r="V266" s="18">
        <v>0</v>
      </c>
      <c r="W266" s="18">
        <v>0</v>
      </c>
      <c r="X266" s="18">
        <f>X265+1</f>
        <v>72</v>
      </c>
      <c r="Y266" s="18">
        <v>0</v>
      </c>
      <c r="Z266" s="18">
        <v>0</v>
      </c>
      <c r="AA266" s="18">
        <v>0</v>
      </c>
      <c r="AB266" s="18">
        <v>0</v>
      </c>
    </row>
    <row r="267" spans="14:28" s="17" customFormat="1" ht="0.95" customHeight="1" x14ac:dyDescent="0.2">
      <c r="N267" s="18"/>
      <c r="O267" s="18"/>
      <c r="P267" s="18"/>
      <c r="Q267" s="18"/>
      <c r="R267" s="18"/>
      <c r="S267" s="18">
        <f>S266+1</f>
        <v>73</v>
      </c>
      <c r="T267" s="18">
        <v>0</v>
      </c>
      <c r="U267" s="18">
        <v>0</v>
      </c>
      <c r="V267" s="18">
        <v>0</v>
      </c>
      <c r="W267" s="18">
        <v>0</v>
      </c>
      <c r="X267" s="18">
        <f>X266+1</f>
        <v>73</v>
      </c>
      <c r="Y267" s="18">
        <v>0</v>
      </c>
      <c r="Z267" s="18">
        <v>0</v>
      </c>
      <c r="AA267" s="18">
        <v>0</v>
      </c>
      <c r="AB267" s="18">
        <v>0</v>
      </c>
    </row>
    <row r="268" spans="14:28" s="17" customFormat="1" ht="0.95" customHeight="1" x14ac:dyDescent="0.2">
      <c r="N268" s="18"/>
      <c r="O268" s="18"/>
      <c r="P268" s="18"/>
      <c r="Q268" s="18"/>
      <c r="R268" s="18"/>
      <c r="S268" s="18">
        <f>S267+1</f>
        <v>74</v>
      </c>
      <c r="T268" s="18">
        <v>0</v>
      </c>
      <c r="U268" s="18">
        <f>IF(AND($P$200=(S268-90),$Z$15&gt;$AA$15),100,0)</f>
        <v>0</v>
      </c>
      <c r="V268" s="18">
        <v>0</v>
      </c>
      <c r="W268" s="18">
        <v>0</v>
      </c>
      <c r="X268" s="18">
        <f>X267+1</f>
        <v>74</v>
      </c>
      <c r="Y268" s="18">
        <v>0</v>
      </c>
      <c r="Z268" s="18">
        <v>0</v>
      </c>
      <c r="AA268" s="18">
        <v>0</v>
      </c>
      <c r="AB268" s="18">
        <v>0</v>
      </c>
    </row>
    <row r="269" spans="14:28" s="17" customFormat="1" ht="0.95" customHeight="1" x14ac:dyDescent="0.2">
      <c r="N269" s="18"/>
      <c r="O269" s="18"/>
      <c r="P269" s="18"/>
      <c r="Q269" s="18"/>
      <c r="R269" s="18"/>
      <c r="S269" s="18">
        <f>S268+1</f>
        <v>75</v>
      </c>
      <c r="T269" s="18">
        <v>0</v>
      </c>
      <c r="U269" s="18">
        <f>IF(AND($P$200=(S269-90),$Z$25&lt;$AA$25),100,0)</f>
        <v>0</v>
      </c>
      <c r="V269" s="18">
        <f>IF(AND($P$200=(S269-90),$Z$25&gt;=$AA$25),100,0)</f>
        <v>0</v>
      </c>
      <c r="W269" s="18">
        <v>0</v>
      </c>
      <c r="X269" s="18">
        <f>X268+1</f>
        <v>75</v>
      </c>
      <c r="Y269" s="18">
        <v>0</v>
      </c>
      <c r="Z269" s="18">
        <f>IF(AND($P$210=(X269-90),$Z$20&lt;$AA$20),100,0)</f>
        <v>0</v>
      </c>
      <c r="AA269" s="18">
        <f>IF(AND($P$210=(X269-90),$Z$20&gt;=$AA$20),100,0)</f>
        <v>0</v>
      </c>
      <c r="AB269" s="18">
        <v>0</v>
      </c>
    </row>
    <row r="270" spans="14:28" s="17" customFormat="1" ht="0.95" customHeight="1" x14ac:dyDescent="0.2">
      <c r="N270" s="18"/>
      <c r="O270" s="18"/>
      <c r="P270" s="18"/>
      <c r="Q270" s="18"/>
      <c r="R270" s="18"/>
      <c r="S270" s="18">
        <f>S269+1</f>
        <v>76</v>
      </c>
      <c r="T270" s="18">
        <v>0</v>
      </c>
      <c r="U270" s="18">
        <f>IF(AND($P$200=(S270-90),$Z$25&lt;$AA$25),100,0)</f>
        <v>0</v>
      </c>
      <c r="V270" s="18">
        <f>IF(AND($P$200=(S270-90),$Z$25&gt;=$AA$25),100,0)</f>
        <v>0</v>
      </c>
      <c r="W270" s="18">
        <v>0</v>
      </c>
      <c r="X270" s="18">
        <f>X269+1</f>
        <v>76</v>
      </c>
      <c r="Y270" s="18">
        <v>0</v>
      </c>
      <c r="Z270" s="18">
        <f>IF(AND($P$210=(X270-90),$Z$20&lt;$AA$20),100,0)</f>
        <v>0</v>
      </c>
      <c r="AA270" s="18">
        <f>IF(AND($P$210=(X270-90),$Z$20&gt;=$AA$20),100,0)</f>
        <v>0</v>
      </c>
      <c r="AB270" s="18">
        <v>0</v>
      </c>
    </row>
    <row r="271" spans="14:28" s="17" customFormat="1" ht="0.95" customHeight="1" x14ac:dyDescent="0.2">
      <c r="N271" s="18"/>
      <c r="O271" s="18"/>
      <c r="P271" s="18"/>
      <c r="Q271" s="18"/>
      <c r="R271" s="18"/>
      <c r="S271" s="18">
        <f>S270+1</f>
        <v>77</v>
      </c>
      <c r="T271" s="18">
        <v>0</v>
      </c>
      <c r="U271" s="18">
        <f>IF(AND($P$200=(S271-90),$Z$25&lt;$AA$25),100,0)</f>
        <v>0</v>
      </c>
      <c r="V271" s="18">
        <f>IF(AND($P$200=(S271-90),$Z$25&gt;=$AA$25),100,0)</f>
        <v>0</v>
      </c>
      <c r="W271" s="18">
        <v>0</v>
      </c>
      <c r="X271" s="18">
        <f>X270+1</f>
        <v>77</v>
      </c>
      <c r="Y271" s="18">
        <v>0</v>
      </c>
      <c r="Z271" s="18">
        <f>IF(AND($P$210=(X271-90),$Z$20&lt;$AA$20),100,0)</f>
        <v>100</v>
      </c>
      <c r="AA271" s="18">
        <f>IF(AND($P$210=(X271-90),$Z$20&gt;=$AA$20),100,0)</f>
        <v>0</v>
      </c>
      <c r="AB271" s="18">
        <v>0</v>
      </c>
    </row>
    <row r="272" spans="14:28" s="17" customFormat="1" ht="0.95" customHeight="1" x14ac:dyDescent="0.2">
      <c r="N272" s="18"/>
      <c r="O272" s="18"/>
      <c r="P272" s="18"/>
      <c r="Q272" s="18"/>
      <c r="R272" s="18"/>
      <c r="S272" s="18">
        <f>S271+1</f>
        <v>78</v>
      </c>
      <c r="T272" s="18">
        <v>0</v>
      </c>
      <c r="U272" s="18">
        <f>IF(AND($P$200=(S272-90),$Z$25&lt;$AA$25),100,0)</f>
        <v>0</v>
      </c>
      <c r="V272" s="18">
        <f>IF(AND($P$200=(S272-90),$Z$25&gt;=$AA$25),100,0)</f>
        <v>0</v>
      </c>
      <c r="W272" s="18">
        <v>0</v>
      </c>
      <c r="X272" s="18">
        <f>X271+1</f>
        <v>78</v>
      </c>
      <c r="Y272" s="18">
        <v>0</v>
      </c>
      <c r="Z272" s="18">
        <f>IF(AND($P$210=(X272-90),$Z$20&lt;$AA$20),100,0)</f>
        <v>0</v>
      </c>
      <c r="AA272" s="18">
        <f>IF(AND($P$210=(X272-90),$Z$20&gt;=$AA$20),100,0)</f>
        <v>0</v>
      </c>
      <c r="AB272" s="18">
        <v>0</v>
      </c>
    </row>
    <row r="273" spans="14:28" s="17" customFormat="1" ht="0.95" customHeight="1" x14ac:dyDescent="0.2">
      <c r="N273" s="18"/>
      <c r="O273" s="18"/>
      <c r="P273" s="18"/>
      <c r="Q273" s="18"/>
      <c r="R273" s="18"/>
      <c r="S273" s="18">
        <f>S272+1</f>
        <v>79</v>
      </c>
      <c r="T273" s="18">
        <v>0</v>
      </c>
      <c r="U273" s="18">
        <f>IF(AND($P$200=(S273-90),$Z$25&lt;$AA$25),100,0)</f>
        <v>0</v>
      </c>
      <c r="V273" s="18">
        <f>IF(AND($P$200=(S273-90),$Z$25&gt;=$AA$25),100,0)</f>
        <v>0</v>
      </c>
      <c r="W273" s="18">
        <v>0</v>
      </c>
      <c r="X273" s="18">
        <f>X272+1</f>
        <v>79</v>
      </c>
      <c r="Y273" s="18">
        <v>0</v>
      </c>
      <c r="Z273" s="18">
        <f>IF(AND($P$210=(X273-90),$Z$20&lt;$AA$20),100,0)</f>
        <v>0</v>
      </c>
      <c r="AA273" s="18">
        <f>IF(AND($P$210=(X273-90),$Z$20&gt;=$AA$20),100,0)</f>
        <v>0</v>
      </c>
      <c r="AB273" s="18">
        <v>0</v>
      </c>
    </row>
    <row r="274" spans="14:28" s="17" customFormat="1" ht="0.95" customHeight="1" x14ac:dyDescent="0.2">
      <c r="N274" s="18"/>
      <c r="O274" s="18"/>
      <c r="P274" s="18"/>
      <c r="Q274" s="18"/>
      <c r="R274" s="18"/>
      <c r="S274" s="18">
        <f>S273+1</f>
        <v>80</v>
      </c>
      <c r="T274" s="18">
        <v>0</v>
      </c>
      <c r="U274" s="18">
        <f>IF(AND($P$200=(S274-90),$Z$25&lt;$AA$25),100,0)</f>
        <v>0</v>
      </c>
      <c r="V274" s="18">
        <f>IF(AND($P$200=(S274-90),$Z$25&gt;=$AA$25),100,0)</f>
        <v>0</v>
      </c>
      <c r="W274" s="18">
        <v>0</v>
      </c>
      <c r="X274" s="18">
        <f>X273+1</f>
        <v>80</v>
      </c>
      <c r="Y274" s="18">
        <v>0</v>
      </c>
      <c r="Z274" s="18">
        <f>IF(AND($P$210=(X274-90),$Z$20&lt;$AA$20),100,0)</f>
        <v>0</v>
      </c>
      <c r="AA274" s="18">
        <f>IF(AND($P$210=(X274-90),$Z$20&gt;=$AA$20),100,0)</f>
        <v>0</v>
      </c>
      <c r="AB274" s="18">
        <v>0</v>
      </c>
    </row>
    <row r="275" spans="14:28" s="17" customFormat="1" ht="0.95" customHeight="1" x14ac:dyDescent="0.2">
      <c r="N275" s="18"/>
      <c r="O275" s="18"/>
      <c r="P275" s="18"/>
      <c r="Q275" s="18"/>
      <c r="R275" s="18"/>
      <c r="S275" s="18">
        <f>S274+1</f>
        <v>81</v>
      </c>
      <c r="T275" s="18">
        <v>0</v>
      </c>
      <c r="U275" s="18">
        <f>IF(AND($P$200=(S275-90),$Z$25&lt;$AA$25),100,0)</f>
        <v>0</v>
      </c>
      <c r="V275" s="18">
        <f>IF(AND($P$200=(S275-90),$Z$25&gt;=$AA$25),100,0)</f>
        <v>0</v>
      </c>
      <c r="W275" s="18">
        <v>0</v>
      </c>
      <c r="X275" s="18">
        <f>X274+1</f>
        <v>81</v>
      </c>
      <c r="Y275" s="18">
        <v>0</v>
      </c>
      <c r="Z275" s="18">
        <f>IF(AND($P$210=(X275-90),$Z$20&lt;$AA$20),100,0)</f>
        <v>0</v>
      </c>
      <c r="AA275" s="18">
        <f>IF(AND($P$210=(X275-90),$Z$20&gt;=$AA$20),100,0)</f>
        <v>0</v>
      </c>
      <c r="AB275" s="18">
        <v>0</v>
      </c>
    </row>
    <row r="276" spans="14:28" s="17" customFormat="1" ht="0.95" customHeight="1" x14ac:dyDescent="0.2">
      <c r="N276" s="18"/>
      <c r="O276" s="18"/>
      <c r="P276" s="18"/>
      <c r="Q276" s="18"/>
      <c r="R276" s="18"/>
      <c r="S276" s="18">
        <f>S275+1</f>
        <v>82</v>
      </c>
      <c r="T276" s="18">
        <v>0</v>
      </c>
      <c r="U276" s="18">
        <f>IF(AND($P$200=(S276-90),$Z$25&lt;$AA$25),100,0)</f>
        <v>0</v>
      </c>
      <c r="V276" s="18">
        <f>IF(AND($P$200=(S276-90),$Z$25&gt;=$AA$25),100,0)</f>
        <v>0</v>
      </c>
      <c r="W276" s="18">
        <v>0</v>
      </c>
      <c r="X276" s="18">
        <f>X275+1</f>
        <v>82</v>
      </c>
      <c r="Y276" s="18">
        <v>0</v>
      </c>
      <c r="Z276" s="18">
        <f>IF(AND($P$210=(X276-90),$Z$20&lt;$AA$20),100,0)</f>
        <v>0</v>
      </c>
      <c r="AA276" s="18">
        <f>IF(AND($P$210=(X276-90),$Z$20&gt;=$AA$20),100,0)</f>
        <v>0</v>
      </c>
      <c r="AB276" s="18">
        <v>0</v>
      </c>
    </row>
    <row r="277" spans="14:28" s="17" customFormat="1" ht="0.95" customHeight="1" x14ac:dyDescent="0.2">
      <c r="N277" s="18"/>
      <c r="O277" s="18"/>
      <c r="P277" s="18"/>
      <c r="Q277" s="18"/>
      <c r="R277" s="18"/>
      <c r="S277" s="18">
        <f>S276+1</f>
        <v>83</v>
      </c>
      <c r="T277" s="18">
        <v>0</v>
      </c>
      <c r="U277" s="18">
        <f>IF(AND($P$200=(S277-90),$Z$25&lt;$AA$25),100,0)</f>
        <v>0</v>
      </c>
      <c r="V277" s="18">
        <f>IF(AND($P$200=(S277-90),$Z$25&gt;=$AA$25),100,0)</f>
        <v>0</v>
      </c>
      <c r="W277" s="18">
        <v>0</v>
      </c>
      <c r="X277" s="18">
        <f>X276+1</f>
        <v>83</v>
      </c>
      <c r="Y277" s="18">
        <v>0</v>
      </c>
      <c r="Z277" s="18">
        <f>IF(AND($P$210=(X277-90),$Z$20&lt;$AA$20),100,0)</f>
        <v>0</v>
      </c>
      <c r="AA277" s="18">
        <f>IF(AND($P$210=(X277-90),$Z$20&gt;=$AA$20),100,0)</f>
        <v>0</v>
      </c>
      <c r="AB277" s="18">
        <v>0</v>
      </c>
    </row>
    <row r="278" spans="14:28" s="17" customFormat="1" ht="0.95" customHeight="1" x14ac:dyDescent="0.2">
      <c r="N278" s="18"/>
      <c r="O278" s="18"/>
      <c r="P278" s="18"/>
      <c r="Q278" s="18"/>
      <c r="R278" s="18"/>
      <c r="S278" s="18">
        <f>S277+1</f>
        <v>84</v>
      </c>
      <c r="T278" s="18">
        <v>0</v>
      </c>
      <c r="U278" s="18">
        <f>IF(AND($P$200=(S278-90),$Z$25&lt;$AA$25),100,0)</f>
        <v>0</v>
      </c>
      <c r="V278" s="18">
        <f>IF(AND($P$200=(S278-90),$Z$25&gt;=$AA$25),100,0)</f>
        <v>0</v>
      </c>
      <c r="W278" s="18">
        <v>0</v>
      </c>
      <c r="X278" s="18">
        <f>X277+1</f>
        <v>84</v>
      </c>
      <c r="Y278" s="18">
        <v>0</v>
      </c>
      <c r="Z278" s="18">
        <f>IF(AND($P$210=(X278-90),$Z$20&lt;$AA$20),100,0)</f>
        <v>0</v>
      </c>
      <c r="AA278" s="18">
        <f>IF(AND($P$210=(X278-90),$Z$20&gt;=$AA$20),100,0)</f>
        <v>0</v>
      </c>
      <c r="AB278" s="18">
        <v>0</v>
      </c>
    </row>
    <row r="279" spans="14:28" s="17" customFormat="1" ht="0.95" customHeight="1" x14ac:dyDescent="0.2">
      <c r="N279" s="18"/>
      <c r="O279" s="18"/>
      <c r="P279" s="18"/>
      <c r="Q279" s="18"/>
      <c r="R279" s="18"/>
      <c r="S279" s="18">
        <f>S278+1</f>
        <v>85</v>
      </c>
      <c r="T279" s="18">
        <v>0</v>
      </c>
      <c r="U279" s="18">
        <f>IF(AND($P$200=(S279-90),$Z$25&lt;$AA$25),100,0)</f>
        <v>0</v>
      </c>
      <c r="V279" s="18">
        <f>IF(AND($P$200=(S279-90),$Z$25&gt;=$AA$25),100,0)</f>
        <v>0</v>
      </c>
      <c r="W279" s="18">
        <v>0</v>
      </c>
      <c r="X279" s="18">
        <f>X278+1</f>
        <v>85</v>
      </c>
      <c r="Y279" s="18">
        <v>0</v>
      </c>
      <c r="Z279" s="18">
        <f>IF(AND($P$210=(X279-90),$Z$20&lt;$AA$20),100,0)</f>
        <v>0</v>
      </c>
      <c r="AA279" s="18">
        <f>IF(AND($P$210=(X279-90),$Z$20&gt;=$AA$20),100,0)</f>
        <v>0</v>
      </c>
      <c r="AB279" s="18">
        <v>0</v>
      </c>
    </row>
    <row r="280" spans="14:28" s="17" customFormat="1" ht="0.95" customHeight="1" x14ac:dyDescent="0.2">
      <c r="N280" s="18"/>
      <c r="O280" s="18"/>
      <c r="P280" s="18"/>
      <c r="Q280" s="18"/>
      <c r="R280" s="18"/>
      <c r="S280" s="18">
        <f>S279+1</f>
        <v>86</v>
      </c>
      <c r="T280" s="18">
        <v>0</v>
      </c>
      <c r="U280" s="18">
        <f>IF(AND($P$200=(S280-90),$Z$25&lt;$AA$25),100,0)</f>
        <v>0</v>
      </c>
      <c r="V280" s="18">
        <f>IF(AND($P$200=(S280-90),$Z$25&gt;=$AA$25),100,0)</f>
        <v>0</v>
      </c>
      <c r="W280" s="18">
        <v>0</v>
      </c>
      <c r="X280" s="18">
        <f>X279+1</f>
        <v>86</v>
      </c>
      <c r="Y280" s="18">
        <v>0</v>
      </c>
      <c r="Z280" s="18">
        <f>IF(AND($P$210=(X280-90),$Z$20&lt;$AA$20),100,0)</f>
        <v>0</v>
      </c>
      <c r="AA280" s="18">
        <f>IF(AND($P$210=(X280-90),$Z$20&gt;=$AA$20),100,0)</f>
        <v>0</v>
      </c>
      <c r="AB280" s="18">
        <v>0</v>
      </c>
    </row>
    <row r="281" spans="14:28" s="17" customFormat="1" ht="0.95" customHeight="1" x14ac:dyDescent="0.2">
      <c r="N281" s="18"/>
      <c r="O281" s="18"/>
      <c r="P281" s="18"/>
      <c r="Q281" s="18"/>
      <c r="R281" s="18"/>
      <c r="S281" s="18">
        <f>S280+1</f>
        <v>87</v>
      </c>
      <c r="T281" s="18">
        <v>0</v>
      </c>
      <c r="U281" s="18">
        <f>IF(AND($P$200=(S281-90),$Z$25&lt;$AA$25),100,0)</f>
        <v>0</v>
      </c>
      <c r="V281" s="18">
        <f>IF(AND($P$200=(S281-90),$Z$25&gt;=$AA$25),100,0)</f>
        <v>0</v>
      </c>
      <c r="W281" s="18">
        <v>0</v>
      </c>
      <c r="X281" s="18">
        <f>X280+1</f>
        <v>87</v>
      </c>
      <c r="Y281" s="18">
        <v>0</v>
      </c>
      <c r="Z281" s="18">
        <f>IF(AND($P$210=(X281-90),$Z$20&lt;$AA$20),100,0)</f>
        <v>0</v>
      </c>
      <c r="AA281" s="18">
        <f>IF(AND($P$210=(X281-90),$Z$20&gt;=$AA$20),100,0)</f>
        <v>0</v>
      </c>
      <c r="AB281" s="18">
        <v>0</v>
      </c>
    </row>
    <row r="282" spans="14:28" s="17" customFormat="1" ht="0.95" customHeight="1" x14ac:dyDescent="0.2">
      <c r="N282" s="18"/>
      <c r="O282" s="18"/>
      <c r="P282" s="18"/>
      <c r="Q282" s="18"/>
      <c r="R282" s="18"/>
      <c r="S282" s="18">
        <f>S281+1</f>
        <v>88</v>
      </c>
      <c r="T282" s="18">
        <v>0</v>
      </c>
      <c r="U282" s="18">
        <f>IF(AND($P$200=(S282-90),$Z$25&lt;$AA$25),100,0)</f>
        <v>0</v>
      </c>
      <c r="V282" s="18">
        <f>IF(AND($P$200=(S282-90),$Z$25&gt;=$AA$25),100,0)</f>
        <v>100</v>
      </c>
      <c r="W282" s="18">
        <v>0</v>
      </c>
      <c r="X282" s="18">
        <f>X281+1</f>
        <v>88</v>
      </c>
      <c r="Y282" s="18">
        <v>0</v>
      </c>
      <c r="Z282" s="18">
        <f>IF(AND($P$210=(X282-90),$Z$20&lt;$AA$20),100,0)</f>
        <v>0</v>
      </c>
      <c r="AA282" s="18">
        <f>IF(AND($P$210=(X282-90),$Z$20&gt;=$AA$20),100,0)</f>
        <v>0</v>
      </c>
      <c r="AB282" s="18">
        <v>0</v>
      </c>
    </row>
    <row r="283" spans="14:28" s="17" customFormat="1" ht="0.95" customHeight="1" x14ac:dyDescent="0.2">
      <c r="N283" s="18"/>
      <c r="O283" s="18"/>
      <c r="P283" s="18"/>
      <c r="Q283" s="18"/>
      <c r="R283" s="18"/>
      <c r="S283" s="18">
        <f>S282+1</f>
        <v>89</v>
      </c>
      <c r="T283" s="18">
        <v>0</v>
      </c>
      <c r="U283" s="18">
        <f>IF(AND($P$200=(S283-90),$Z$25&lt;$AA$25),100,0)</f>
        <v>0</v>
      </c>
      <c r="V283" s="18">
        <f>IF(AND($P$200=(S283-90),$Z$25&gt;=$AA$25),100,0)</f>
        <v>0</v>
      </c>
      <c r="W283" s="18">
        <v>0</v>
      </c>
      <c r="X283" s="18">
        <f>X282+1</f>
        <v>89</v>
      </c>
      <c r="Y283" s="18">
        <v>0</v>
      </c>
      <c r="Z283" s="18">
        <f>IF(AND($P$210=(X283-90),$Z$20&lt;$AA$20),100,0)</f>
        <v>0</v>
      </c>
      <c r="AA283" s="18">
        <f>IF(AND($P$210=(X283-90),$Z$20&gt;=$AA$20),100,0)</f>
        <v>0</v>
      </c>
      <c r="AB283" s="18">
        <v>0</v>
      </c>
    </row>
    <row r="284" spans="14:28" s="17" customFormat="1" ht="0.95" customHeight="1" x14ac:dyDescent="0.2">
      <c r="N284" s="18"/>
      <c r="O284" s="18"/>
      <c r="P284" s="18"/>
      <c r="Q284" s="18"/>
      <c r="R284" s="18"/>
      <c r="S284" s="18">
        <f>S283+1</f>
        <v>90</v>
      </c>
      <c r="T284" s="18">
        <v>0</v>
      </c>
      <c r="U284" s="18">
        <f>IF(AND($P$200=(S284-90),$Z$25&lt;$AA$25),100,0)</f>
        <v>0</v>
      </c>
      <c r="V284" s="18">
        <f>IF(AND($P$200=(S284-90),$Z$25&gt;=$AA$25),100,0)</f>
        <v>0</v>
      </c>
      <c r="W284" s="18">
        <v>0</v>
      </c>
      <c r="X284" s="18">
        <f>X283+1</f>
        <v>90</v>
      </c>
      <c r="Y284" s="18">
        <v>0</v>
      </c>
      <c r="Z284" s="18">
        <f>IF(AND($P$210=(X284-90),$Z$20&lt;$AA$20),100,0)</f>
        <v>0</v>
      </c>
      <c r="AA284" s="18">
        <f>IF(AND($P$210=(X284-90),$Z$20&gt;=$AA$20),100,0)</f>
        <v>0</v>
      </c>
      <c r="AB284" s="18">
        <v>0</v>
      </c>
    </row>
    <row r="285" spans="14:28" s="17" customFormat="1" ht="0.95" customHeight="1" x14ac:dyDescent="0.2">
      <c r="N285" s="18"/>
      <c r="O285" s="18"/>
      <c r="P285" s="18"/>
      <c r="Q285" s="18"/>
      <c r="R285" s="18"/>
      <c r="S285" s="18">
        <f>S284+1</f>
        <v>91</v>
      </c>
      <c r="T285" s="18">
        <v>0</v>
      </c>
      <c r="U285" s="18">
        <f>IF(AND($P$200=(S285-90),$Z$25&lt;$AA$25),100,0)</f>
        <v>0</v>
      </c>
      <c r="V285" s="18">
        <f>IF(AND($P$200=(S285-90),$Z$25&gt;=$AA$25),100,0)</f>
        <v>0</v>
      </c>
      <c r="W285" s="18">
        <v>0</v>
      </c>
      <c r="X285" s="18">
        <f>X284+1</f>
        <v>91</v>
      </c>
      <c r="Y285" s="18">
        <v>0</v>
      </c>
      <c r="Z285" s="18">
        <f>IF(AND($P$210=(X285-90),$Z$20&lt;$AA$20),100,0)</f>
        <v>0</v>
      </c>
      <c r="AA285" s="18">
        <f>IF(AND($P$210=(X285-90),$Z$20&gt;=$AA$20),100,0)</f>
        <v>0</v>
      </c>
      <c r="AB285" s="18">
        <v>0</v>
      </c>
    </row>
    <row r="286" spans="14:28" s="17" customFormat="1" ht="0.95" customHeight="1" x14ac:dyDescent="0.2">
      <c r="N286" s="18"/>
      <c r="O286" s="18"/>
      <c r="P286" s="18"/>
      <c r="Q286" s="18"/>
      <c r="R286" s="18"/>
      <c r="S286" s="18">
        <f>S285+1</f>
        <v>92</v>
      </c>
      <c r="T286" s="18">
        <v>0</v>
      </c>
      <c r="U286" s="18">
        <f>IF(AND($P$200=(S286-90),$Z$25&lt;$AA$25),100,0)</f>
        <v>0</v>
      </c>
      <c r="V286" s="18">
        <f>IF(AND($P$200=(S286-90),$Z$25&gt;=$AA$25),100,0)</f>
        <v>0</v>
      </c>
      <c r="W286" s="18">
        <v>0</v>
      </c>
      <c r="X286" s="18">
        <f>X285+1</f>
        <v>92</v>
      </c>
      <c r="Y286" s="18">
        <v>0</v>
      </c>
      <c r="Z286" s="18">
        <f>IF(AND($P$210=(X286-90),$Z$20&lt;$AA$20),100,0)</f>
        <v>0</v>
      </c>
      <c r="AA286" s="18">
        <f>IF(AND($P$210=(X286-90),$Z$20&gt;=$AA$20),100,0)</f>
        <v>0</v>
      </c>
      <c r="AB286" s="18">
        <v>0</v>
      </c>
    </row>
    <row r="287" spans="14:28" s="17" customFormat="1" ht="0.95" customHeight="1" x14ac:dyDescent="0.2">
      <c r="N287" s="18"/>
      <c r="O287" s="18"/>
      <c r="P287" s="18"/>
      <c r="Q287" s="18"/>
      <c r="R287" s="18"/>
      <c r="S287" s="18">
        <f>S286+1</f>
        <v>93</v>
      </c>
      <c r="T287" s="18">
        <v>0</v>
      </c>
      <c r="U287" s="18">
        <f>IF(AND($P$200=(S287-90),$Z$25&lt;$AA$25),100,0)</f>
        <v>0</v>
      </c>
      <c r="V287" s="18">
        <f>IF(AND($P$200=(S287-90),$Z$25&gt;=$AA$25),100,0)</f>
        <v>0</v>
      </c>
      <c r="W287" s="18">
        <v>0</v>
      </c>
      <c r="X287" s="18">
        <f>X286+1</f>
        <v>93</v>
      </c>
      <c r="Y287" s="18">
        <v>0</v>
      </c>
      <c r="Z287" s="18">
        <f>IF(AND($P$210=(X287-90),$Z$20&lt;$AA$20),100,0)</f>
        <v>0</v>
      </c>
      <c r="AA287" s="18">
        <f>IF(AND($P$210=(X287-90),$Z$20&gt;=$AA$20),100,0)</f>
        <v>0</v>
      </c>
      <c r="AB287" s="18">
        <v>0</v>
      </c>
    </row>
    <row r="288" spans="14:28" s="17" customFormat="1" ht="0.95" customHeight="1" x14ac:dyDescent="0.2">
      <c r="N288" s="18"/>
      <c r="O288" s="18"/>
      <c r="P288" s="18"/>
      <c r="Q288" s="18"/>
      <c r="R288" s="18"/>
      <c r="S288" s="18">
        <f>S287+1</f>
        <v>94</v>
      </c>
      <c r="T288" s="18">
        <v>0</v>
      </c>
      <c r="U288" s="18">
        <f>IF(AND($P$200=(S288-90),$Z$25&lt;$AA$25),100,0)</f>
        <v>0</v>
      </c>
      <c r="V288" s="18">
        <f>IF(AND($P$200=(S288-90),$Z$25&gt;=$AA$25),100,0)</f>
        <v>0</v>
      </c>
      <c r="W288" s="18">
        <v>0</v>
      </c>
      <c r="X288" s="18">
        <f>X287+1</f>
        <v>94</v>
      </c>
      <c r="Y288" s="18">
        <v>0</v>
      </c>
      <c r="Z288" s="18">
        <f>IF(AND($P$210=(X288-90),$Z$20&lt;$AA$20),100,0)</f>
        <v>0</v>
      </c>
      <c r="AA288" s="18">
        <f>IF(AND($P$210=(X288-90),$Z$20&gt;=$AA$20),100,0)</f>
        <v>0</v>
      </c>
      <c r="AB288" s="18">
        <v>0</v>
      </c>
    </row>
    <row r="289" spans="14:28" s="17" customFormat="1" ht="0.95" customHeight="1" x14ac:dyDescent="0.2">
      <c r="N289" s="18"/>
      <c r="O289" s="18"/>
      <c r="P289" s="18"/>
      <c r="Q289" s="18"/>
      <c r="R289" s="18"/>
      <c r="S289" s="18">
        <f>S288+1</f>
        <v>95</v>
      </c>
      <c r="T289" s="18">
        <v>0</v>
      </c>
      <c r="U289" s="18">
        <f>IF(AND($P$200=(S289-90),$Z$25&lt;$AA$25),100,0)</f>
        <v>0</v>
      </c>
      <c r="V289" s="18">
        <f>IF(AND($P$200=(S289-90),$Z$25&gt;=$AA$25),100,0)</f>
        <v>0</v>
      </c>
      <c r="W289" s="18">
        <v>0</v>
      </c>
      <c r="X289" s="18">
        <f>X288+1</f>
        <v>95</v>
      </c>
      <c r="Y289" s="18">
        <v>0</v>
      </c>
      <c r="Z289" s="18">
        <f>IF(AND($P$210=(X289-90),$Z$20&lt;$AA$20),100,0)</f>
        <v>0</v>
      </c>
      <c r="AA289" s="18">
        <f>IF(AND($P$210=(X289-90),$Z$20&gt;=$AA$20),100,0)</f>
        <v>0</v>
      </c>
      <c r="AB289" s="18">
        <v>0</v>
      </c>
    </row>
    <row r="290" spans="14:28" s="17" customFormat="1" ht="0.95" customHeight="1" x14ac:dyDescent="0.2">
      <c r="N290" s="18"/>
      <c r="O290" s="18"/>
      <c r="P290" s="18"/>
      <c r="Q290" s="18"/>
      <c r="R290" s="18"/>
      <c r="S290" s="18">
        <f>S289+1</f>
        <v>96</v>
      </c>
      <c r="T290" s="18">
        <v>0</v>
      </c>
      <c r="U290" s="18">
        <f>IF(AND($P$200=(S290-90),$Z$25&lt;$AA$25),100,0)</f>
        <v>0</v>
      </c>
      <c r="V290" s="18">
        <f>IF(AND($P$200=(S290-90),$Z$25&gt;=$AA$25),100,0)</f>
        <v>0</v>
      </c>
      <c r="W290" s="18">
        <v>0</v>
      </c>
      <c r="X290" s="18">
        <f>X289+1</f>
        <v>96</v>
      </c>
      <c r="Y290" s="18">
        <v>0</v>
      </c>
      <c r="Z290" s="18">
        <f>IF(AND($P$210=(X290-90),$Z$20&lt;$AA$20),100,0)</f>
        <v>0</v>
      </c>
      <c r="AA290" s="18">
        <f>IF(AND($P$210=(X290-90),$Z$20&gt;=$AA$20),100,0)</f>
        <v>0</v>
      </c>
      <c r="AB290" s="18">
        <v>0</v>
      </c>
    </row>
    <row r="291" spans="14:28" s="17" customFormat="1" ht="0.95" customHeight="1" x14ac:dyDescent="0.2">
      <c r="N291" s="18"/>
      <c r="O291" s="18"/>
      <c r="P291" s="18"/>
      <c r="Q291" s="18"/>
      <c r="R291" s="18"/>
      <c r="S291" s="18">
        <f>S290+1</f>
        <v>97</v>
      </c>
      <c r="T291" s="18">
        <v>0</v>
      </c>
      <c r="U291" s="18">
        <f>IF(AND($P$200=(S291-90),$Z$25&lt;$AA$25),100,0)</f>
        <v>0</v>
      </c>
      <c r="V291" s="18">
        <f>IF(AND($P$200=(S291-90),$Z$25&gt;=$AA$25),100,0)</f>
        <v>0</v>
      </c>
      <c r="W291" s="18">
        <v>0</v>
      </c>
      <c r="X291" s="18">
        <f>X290+1</f>
        <v>97</v>
      </c>
      <c r="Y291" s="18">
        <v>0</v>
      </c>
      <c r="Z291" s="18">
        <f>IF(AND($P$210=(X291-90),$Z$20&lt;$AA$20),100,0)</f>
        <v>0</v>
      </c>
      <c r="AA291" s="18">
        <f>IF(AND($P$210=(X291-90),$Z$20&gt;=$AA$20),100,0)</f>
        <v>0</v>
      </c>
      <c r="AB291" s="18">
        <v>0</v>
      </c>
    </row>
    <row r="292" spans="14:28" s="17" customFormat="1" ht="0.95" customHeight="1" x14ac:dyDescent="0.2">
      <c r="N292" s="18"/>
      <c r="O292" s="18"/>
      <c r="P292" s="18"/>
      <c r="Q292" s="18"/>
      <c r="R292" s="18"/>
      <c r="S292" s="18">
        <f>S291+1</f>
        <v>98</v>
      </c>
      <c r="T292" s="18">
        <v>0</v>
      </c>
      <c r="U292" s="18">
        <f>IF(AND($P$200=(S292-90),$Z$25&lt;$AA$25),100,0)</f>
        <v>0</v>
      </c>
      <c r="V292" s="18">
        <f>IF(AND($P$200=(S292-90),$Z$25&gt;=$AA$25),100,0)</f>
        <v>0</v>
      </c>
      <c r="W292" s="18">
        <v>0</v>
      </c>
      <c r="X292" s="18">
        <f>X291+1</f>
        <v>98</v>
      </c>
      <c r="Y292" s="18">
        <v>0</v>
      </c>
      <c r="Z292" s="18">
        <f>IF(AND($P$210=(X292-90),$Z$20&lt;$AA$20),100,0)</f>
        <v>0</v>
      </c>
      <c r="AA292" s="18">
        <f>IF(AND($P$210=(X292-90),$Z$20&gt;=$AA$20),100,0)</f>
        <v>0</v>
      </c>
      <c r="AB292" s="18">
        <v>0</v>
      </c>
    </row>
    <row r="293" spans="14:28" s="17" customFormat="1" ht="0.95" customHeight="1" x14ac:dyDescent="0.2">
      <c r="N293" s="18"/>
      <c r="O293" s="18"/>
      <c r="P293" s="18"/>
      <c r="Q293" s="18"/>
      <c r="R293" s="18"/>
      <c r="S293" s="18">
        <f>S292+1</f>
        <v>99</v>
      </c>
      <c r="T293" s="18">
        <v>0</v>
      </c>
      <c r="U293" s="18">
        <f>IF(AND($P$200=(S293-90),$Z$25&lt;$AA$25),100,0)</f>
        <v>0</v>
      </c>
      <c r="V293" s="18">
        <f>IF(AND($P$200=(S293-90),$Z$25&gt;=$AA$25),100,0)</f>
        <v>0</v>
      </c>
      <c r="W293" s="18">
        <v>0</v>
      </c>
      <c r="X293" s="18">
        <f>X292+1</f>
        <v>99</v>
      </c>
      <c r="Y293" s="18">
        <v>0</v>
      </c>
      <c r="Z293" s="18">
        <f>IF(AND($P$210=(X293-90),$Z$20&lt;$AA$20),100,0)</f>
        <v>0</v>
      </c>
      <c r="AA293" s="18">
        <f>IF(AND($P$210=(X293-90),$Z$20&gt;=$AA$20),100,0)</f>
        <v>0</v>
      </c>
      <c r="AB293" s="18">
        <v>0</v>
      </c>
    </row>
    <row r="294" spans="14:28" s="17" customFormat="1" ht="0.95" customHeight="1" x14ac:dyDescent="0.2">
      <c r="N294" s="18"/>
      <c r="O294" s="18"/>
      <c r="P294" s="18"/>
      <c r="Q294" s="18"/>
      <c r="R294" s="18"/>
      <c r="S294" s="18">
        <f>S293+1</f>
        <v>100</v>
      </c>
      <c r="T294" s="18">
        <v>0</v>
      </c>
      <c r="U294" s="18">
        <f>IF(AND($P$200=(S294-90),$Z$25&lt;$AA$25),100,0)</f>
        <v>0</v>
      </c>
      <c r="V294" s="18">
        <f>IF(AND($P$200=(S294-90),$Z$25&gt;=$AA$25),100,0)</f>
        <v>0</v>
      </c>
      <c r="W294" s="18">
        <v>0</v>
      </c>
      <c r="X294" s="18">
        <f>X293+1</f>
        <v>100</v>
      </c>
      <c r="Y294" s="18">
        <v>0</v>
      </c>
      <c r="Z294" s="18">
        <f>IF(AND($P$210=(X294-90),$Z$20&lt;$AA$20),100,0)</f>
        <v>0</v>
      </c>
      <c r="AA294" s="18">
        <f>IF(AND($P$210=(X294-90),$Z$20&gt;=$AA$20),100,0)</f>
        <v>0</v>
      </c>
      <c r="AB294" s="18">
        <v>0</v>
      </c>
    </row>
    <row r="295" spans="14:28" s="17" customFormat="1" ht="0.95" customHeight="1" x14ac:dyDescent="0.2">
      <c r="N295" s="18"/>
      <c r="O295" s="18"/>
      <c r="P295" s="18"/>
      <c r="Q295" s="18"/>
      <c r="R295" s="18"/>
      <c r="S295" s="18">
        <f>S294+1</f>
        <v>101</v>
      </c>
      <c r="T295" s="18">
        <v>0</v>
      </c>
      <c r="U295" s="18">
        <f>IF(AND($P$200=(S295-90),$Z$25&lt;$AA$25),100,0)</f>
        <v>0</v>
      </c>
      <c r="V295" s="18">
        <f>IF(AND($P$200=(S295-90),$Z$25&gt;=$AA$25),100,0)</f>
        <v>0</v>
      </c>
      <c r="W295" s="18">
        <v>0</v>
      </c>
      <c r="X295" s="18">
        <f>X294+1</f>
        <v>101</v>
      </c>
      <c r="Y295" s="18">
        <v>0</v>
      </c>
      <c r="Z295" s="18">
        <f>IF(AND($P$210=(X295-90),$Z$20&lt;$AA$20),100,0)</f>
        <v>0</v>
      </c>
      <c r="AA295" s="18">
        <f>IF(AND($P$210=(X295-90),$Z$20&gt;=$AA$20),100,0)</f>
        <v>0</v>
      </c>
      <c r="AB295" s="18">
        <v>0</v>
      </c>
    </row>
    <row r="296" spans="14:28" s="17" customFormat="1" ht="0.95" customHeight="1" x14ac:dyDescent="0.2">
      <c r="N296" s="18"/>
      <c r="O296" s="18"/>
      <c r="P296" s="18"/>
      <c r="Q296" s="18"/>
      <c r="R296" s="18"/>
      <c r="S296" s="18">
        <f>S295+1</f>
        <v>102</v>
      </c>
      <c r="T296" s="18">
        <v>0</v>
      </c>
      <c r="U296" s="18">
        <f>IF(AND($P$200=(S296-90),$Z$25&lt;$AA$25),100,0)</f>
        <v>0</v>
      </c>
      <c r="V296" s="18">
        <f>IF(AND($P$200=(S296-90),$Z$25&gt;=$AA$25),100,0)</f>
        <v>0</v>
      </c>
      <c r="W296" s="18">
        <v>0</v>
      </c>
      <c r="X296" s="18">
        <f>X295+1</f>
        <v>102</v>
      </c>
      <c r="Y296" s="18">
        <v>0</v>
      </c>
      <c r="Z296" s="18">
        <f>IF(AND($P$210=(X296-90),$Z$20&lt;$AA$20),100,0)</f>
        <v>0</v>
      </c>
      <c r="AA296" s="18">
        <f>IF(AND($P$210=(X296-90),$Z$20&gt;=$AA$20),100,0)</f>
        <v>0</v>
      </c>
      <c r="AB296" s="18">
        <v>0</v>
      </c>
    </row>
    <row r="297" spans="14:28" s="17" customFormat="1" ht="0.95" customHeight="1" x14ac:dyDescent="0.2">
      <c r="N297" s="18"/>
      <c r="O297" s="18"/>
      <c r="P297" s="18"/>
      <c r="Q297" s="18"/>
      <c r="R297" s="18"/>
      <c r="S297" s="18">
        <f>S296+1</f>
        <v>103</v>
      </c>
      <c r="T297" s="18">
        <v>0</v>
      </c>
      <c r="U297" s="18">
        <f>IF(AND($P$200=(S297-90),$Z$25&lt;$AA$25),100,0)</f>
        <v>0</v>
      </c>
      <c r="V297" s="18">
        <f>IF(AND($P$200=(S297-90),$Z$25&gt;=$AA$25),100,0)</f>
        <v>0</v>
      </c>
      <c r="W297" s="18">
        <v>0</v>
      </c>
      <c r="X297" s="18">
        <f>X296+1</f>
        <v>103</v>
      </c>
      <c r="Y297" s="18">
        <v>0</v>
      </c>
      <c r="Z297" s="18">
        <f>IF(AND($P$210=(X297-90),$Z$20&lt;$AA$20),100,0)</f>
        <v>0</v>
      </c>
      <c r="AA297" s="18">
        <f>IF(AND($P$210=(X297-90),$Z$20&gt;=$AA$20),100,0)</f>
        <v>0</v>
      </c>
      <c r="AB297" s="18">
        <v>0</v>
      </c>
    </row>
    <row r="298" spans="14:28" s="17" customFormat="1" ht="0.95" customHeight="1" x14ac:dyDescent="0.2">
      <c r="N298" s="18"/>
      <c r="O298" s="18"/>
      <c r="P298" s="18"/>
      <c r="Q298" s="18"/>
      <c r="R298" s="18"/>
      <c r="S298" s="18">
        <f>S297+1</f>
        <v>104</v>
      </c>
      <c r="T298" s="18">
        <v>0</v>
      </c>
      <c r="U298" s="18">
        <f>IF(AND($P$200=(S298-90),$Z$25&lt;$AA$25),100,0)</f>
        <v>0</v>
      </c>
      <c r="V298" s="18">
        <f>IF(AND($P$200=(S298-90),$Z$25&gt;=$AA$25),100,0)</f>
        <v>0</v>
      </c>
      <c r="W298" s="18">
        <v>0</v>
      </c>
      <c r="X298" s="18">
        <f>X297+1</f>
        <v>104</v>
      </c>
      <c r="Y298" s="18">
        <v>0</v>
      </c>
      <c r="Z298" s="18">
        <f>IF(AND($P$210=(X298-90),$Z$20&lt;$AA$20),100,0)</f>
        <v>0</v>
      </c>
      <c r="AA298" s="18">
        <f>IF(AND($P$210=(X298-90),$Z$20&gt;=$AA$20),100,0)</f>
        <v>0</v>
      </c>
      <c r="AB298" s="18">
        <v>0</v>
      </c>
    </row>
    <row r="299" spans="14:28" s="17" customFormat="1" ht="0.95" customHeight="1" x14ac:dyDescent="0.2">
      <c r="N299" s="18"/>
      <c r="O299" s="18"/>
      <c r="P299" s="18"/>
      <c r="Q299" s="18"/>
      <c r="R299" s="18"/>
      <c r="S299" s="18">
        <f>S298+1</f>
        <v>105</v>
      </c>
      <c r="T299" s="18">
        <f>IF(AND($P$200=(S299-120),$Z$25&lt;$AA$25),100,0)</f>
        <v>0</v>
      </c>
      <c r="U299" s="18">
        <f>IF(AND($P$200=(S299-90),$Z$25&lt;$AA$25),100,0)</f>
        <v>0</v>
      </c>
      <c r="V299" s="18">
        <f>IF(AND($P$200=(S299-90),$Z$25&gt;=$AA$25),100,0)</f>
        <v>0</v>
      </c>
      <c r="W299" s="18">
        <f>IF(AND($P$200=(S299-120),$Z$25&gt;=$AA$25),100,0)</f>
        <v>0</v>
      </c>
      <c r="X299" s="18">
        <f>X298+1</f>
        <v>105</v>
      </c>
      <c r="Y299" s="18">
        <f>IF(AND($P$210=(X299-120),$Z$20&lt;$AA$20),100,0)</f>
        <v>0</v>
      </c>
      <c r="Z299" s="18">
        <f>IF(AND($P$210=(X299-90),$Z$20&lt;$AA$20),100,0)</f>
        <v>0</v>
      </c>
      <c r="AA299" s="18">
        <f>IF(AND($P$210=(X299-90),$Z$20&gt;=$AA$20),100,0)</f>
        <v>0</v>
      </c>
      <c r="AB299" s="18">
        <f>IF(AND($P$210=(X299-120),$Z$20&gt;=$AA$20),100,0)</f>
        <v>0</v>
      </c>
    </row>
    <row r="300" spans="14:28" s="17" customFormat="1" ht="0.95" customHeight="1" x14ac:dyDescent="0.2">
      <c r="N300" s="18"/>
      <c r="O300" s="18"/>
      <c r="P300" s="18"/>
      <c r="Q300" s="18"/>
      <c r="R300" s="18"/>
      <c r="S300" s="18">
        <f>S299+1</f>
        <v>106</v>
      </c>
      <c r="T300" s="18">
        <f>IF(AND($P$200=(S300-120),$Z$25&lt;$AA$25),100,0)</f>
        <v>0</v>
      </c>
      <c r="U300" s="18">
        <v>0</v>
      </c>
      <c r="V300" s="18">
        <v>0</v>
      </c>
      <c r="W300" s="18">
        <f>IF(AND($P$200=(S300-120),$Z$25&gt;=$AA$25),100,0)</f>
        <v>0</v>
      </c>
      <c r="X300" s="18">
        <f>X299+1</f>
        <v>106</v>
      </c>
      <c r="Y300" s="18">
        <f>IF(AND($P$210=(X300-120),$Z$20&lt;$AA$20),100,0)</f>
        <v>0</v>
      </c>
      <c r="Z300" s="18">
        <v>0</v>
      </c>
      <c r="AA300" s="18">
        <v>0</v>
      </c>
      <c r="AB300" s="18">
        <f>IF(AND($P$210=(X300-120),$Z$20&gt;=$AA$20),100,0)</f>
        <v>0</v>
      </c>
    </row>
    <row r="301" spans="14:28" s="17" customFormat="1" ht="0.95" customHeight="1" x14ac:dyDescent="0.2">
      <c r="N301" s="18"/>
      <c r="O301" s="18"/>
      <c r="P301" s="18"/>
      <c r="Q301" s="18"/>
      <c r="R301" s="18"/>
      <c r="S301" s="18">
        <f>S300+1</f>
        <v>107</v>
      </c>
      <c r="T301" s="18">
        <f>IF(AND($P$200=(S301-120),$Z$25&lt;$AA$25),100,0)</f>
        <v>0</v>
      </c>
      <c r="U301" s="18">
        <v>0</v>
      </c>
      <c r="V301" s="18">
        <v>0</v>
      </c>
      <c r="W301" s="18">
        <f>IF(AND($P$200=(S301-120),$Z$25&gt;=$AA$25),100,0)</f>
        <v>0</v>
      </c>
      <c r="X301" s="18">
        <f>X300+1</f>
        <v>107</v>
      </c>
      <c r="Y301" s="18">
        <f>IF(AND($P$210=(X301-120),$Z$20&lt;$AA$20),100,0)</f>
        <v>100</v>
      </c>
      <c r="Z301" s="18">
        <v>0</v>
      </c>
      <c r="AA301" s="18">
        <v>0</v>
      </c>
      <c r="AB301" s="18">
        <f>IF(AND($P$210=(X301-120),$Z$20&gt;=$AA$20),100,0)</f>
        <v>0</v>
      </c>
    </row>
    <row r="302" spans="14:28" s="17" customFormat="1" ht="0.95" customHeight="1" x14ac:dyDescent="0.2">
      <c r="N302" s="18"/>
      <c r="O302" s="18"/>
      <c r="P302" s="18"/>
      <c r="Q302" s="18"/>
      <c r="R302" s="18"/>
      <c r="S302" s="18">
        <f>S301+1</f>
        <v>108</v>
      </c>
      <c r="T302" s="18">
        <f>IF(AND($P$200=(S302-120),$Z$25&lt;$AA$25),100,0)</f>
        <v>0</v>
      </c>
      <c r="U302" s="18">
        <v>0</v>
      </c>
      <c r="V302" s="18">
        <v>0</v>
      </c>
      <c r="W302" s="18">
        <f>IF(AND($P$200=(S302-120),$Z$25&gt;=$AA$25),100,0)</f>
        <v>0</v>
      </c>
      <c r="X302" s="18">
        <f>X301+1</f>
        <v>108</v>
      </c>
      <c r="Y302" s="18">
        <f>IF(AND($P$210=(X302-120),$Z$20&lt;$AA$20),100,0)</f>
        <v>0</v>
      </c>
      <c r="Z302" s="18">
        <v>0</v>
      </c>
      <c r="AA302" s="18">
        <v>0</v>
      </c>
      <c r="AB302" s="18">
        <f>IF(AND($P$210=(X302-120),$Z$20&gt;=$AA$20),100,0)</f>
        <v>0</v>
      </c>
    </row>
    <row r="303" spans="14:28" s="17" customFormat="1" ht="0.95" customHeight="1" x14ac:dyDescent="0.2">
      <c r="N303" s="18"/>
      <c r="O303" s="18"/>
      <c r="P303" s="18"/>
      <c r="Q303" s="18"/>
      <c r="R303" s="18"/>
      <c r="S303" s="18">
        <f>S302+1</f>
        <v>109</v>
      </c>
      <c r="T303" s="18">
        <f>IF(AND($P$200=(S303-120),$Z$25&lt;$AA$25),100,0)</f>
        <v>0</v>
      </c>
      <c r="U303" s="18">
        <v>0</v>
      </c>
      <c r="V303" s="18">
        <v>0</v>
      </c>
      <c r="W303" s="18">
        <f>IF(AND($P$200=(S303-120),$Z$25&gt;=$AA$25),100,0)</f>
        <v>0</v>
      </c>
      <c r="X303" s="18">
        <f>X302+1</f>
        <v>109</v>
      </c>
      <c r="Y303" s="18">
        <f>IF(AND($P$210=(X303-120),$Z$20&lt;$AA$20),100,0)</f>
        <v>0</v>
      </c>
      <c r="Z303" s="18">
        <v>0</v>
      </c>
      <c r="AA303" s="18">
        <v>0</v>
      </c>
      <c r="AB303" s="18">
        <f>IF(AND($P$210=(X303-120),$Z$20&gt;=$AA$20),100,0)</f>
        <v>0</v>
      </c>
    </row>
    <row r="304" spans="14:28" s="17" customFormat="1" ht="0.95" customHeight="1" x14ac:dyDescent="0.2">
      <c r="N304" s="18"/>
      <c r="O304" s="18"/>
      <c r="P304" s="18"/>
      <c r="Q304" s="18"/>
      <c r="R304" s="18"/>
      <c r="S304" s="18">
        <f>S303+1</f>
        <v>110</v>
      </c>
      <c r="T304" s="18">
        <f>IF(AND($P$200=(S304-120),$Z$25&lt;$AA$25),100,0)</f>
        <v>0</v>
      </c>
      <c r="U304" s="18">
        <v>0</v>
      </c>
      <c r="V304" s="18">
        <v>0</v>
      </c>
      <c r="W304" s="18">
        <f>IF(AND($P$200=(S304-120),$Z$25&gt;=$AA$25),100,0)</f>
        <v>0</v>
      </c>
      <c r="X304" s="18">
        <f>X303+1</f>
        <v>110</v>
      </c>
      <c r="Y304" s="18">
        <f>IF(AND($P$210=(X304-120),$Z$20&lt;$AA$20),100,0)</f>
        <v>0</v>
      </c>
      <c r="Z304" s="18">
        <v>0</v>
      </c>
      <c r="AA304" s="18">
        <v>0</v>
      </c>
      <c r="AB304" s="18">
        <f>IF(AND($P$210=(X304-120),$Z$20&gt;=$AA$20),100,0)</f>
        <v>0</v>
      </c>
    </row>
    <row r="305" spans="14:28" s="17" customFormat="1" ht="0.95" customHeight="1" x14ac:dyDescent="0.2">
      <c r="N305" s="18"/>
      <c r="O305" s="18"/>
      <c r="P305" s="18"/>
      <c r="Q305" s="18"/>
      <c r="R305" s="18"/>
      <c r="S305" s="18">
        <f>S304+1</f>
        <v>111</v>
      </c>
      <c r="T305" s="18">
        <f>IF(AND($P$200=(S305-120),$Z$25&lt;$AA$25),100,0)</f>
        <v>0</v>
      </c>
      <c r="U305" s="18">
        <v>0</v>
      </c>
      <c r="V305" s="18">
        <v>0</v>
      </c>
      <c r="W305" s="18">
        <f>IF(AND($P$200=(S305-120),$Z$25&gt;=$AA$25),100,0)</f>
        <v>0</v>
      </c>
      <c r="X305" s="18">
        <f>X304+1</f>
        <v>111</v>
      </c>
      <c r="Y305" s="18">
        <f>IF(AND($P$210=(X305-120),$Z$20&lt;$AA$20),100,0)</f>
        <v>0</v>
      </c>
      <c r="Z305" s="18">
        <v>0</v>
      </c>
      <c r="AA305" s="18">
        <v>0</v>
      </c>
      <c r="AB305" s="18">
        <f>IF(AND($P$210=(X305-120),$Z$20&gt;=$AA$20),100,0)</f>
        <v>0</v>
      </c>
    </row>
    <row r="306" spans="14:28" s="17" customFormat="1" ht="0.95" customHeight="1" x14ac:dyDescent="0.2">
      <c r="N306" s="18"/>
      <c r="O306" s="18"/>
      <c r="P306" s="18"/>
      <c r="Q306" s="18"/>
      <c r="R306" s="18"/>
      <c r="S306" s="18">
        <f>S305+1</f>
        <v>112</v>
      </c>
      <c r="T306" s="18">
        <f>IF(AND($P$200=(S306-120),$Z$25&lt;$AA$25),100,0)</f>
        <v>0</v>
      </c>
      <c r="U306" s="18">
        <v>0</v>
      </c>
      <c r="V306" s="18">
        <v>0</v>
      </c>
      <c r="W306" s="18">
        <f>IF(AND($P$200=(S306-120),$Z$25&gt;=$AA$25),100,0)</f>
        <v>0</v>
      </c>
      <c r="X306" s="18">
        <f>X305+1</f>
        <v>112</v>
      </c>
      <c r="Y306" s="18">
        <f>IF(AND($P$210=(X306-120),$Z$20&lt;$AA$20),100,0)</f>
        <v>0</v>
      </c>
      <c r="Z306" s="18">
        <v>0</v>
      </c>
      <c r="AA306" s="18">
        <v>0</v>
      </c>
      <c r="AB306" s="18">
        <f>IF(AND($P$210=(X306-120),$Z$20&gt;=$AA$20),100,0)</f>
        <v>0</v>
      </c>
    </row>
    <row r="307" spans="14:28" s="17" customFormat="1" ht="0.95" customHeight="1" x14ac:dyDescent="0.2">
      <c r="N307" s="18"/>
      <c r="O307" s="18"/>
      <c r="P307" s="18"/>
      <c r="Q307" s="18"/>
      <c r="R307" s="18"/>
      <c r="S307" s="18">
        <f>S306+1</f>
        <v>113</v>
      </c>
      <c r="T307" s="18">
        <f>IF(AND($P$200=(S307-120),$Z$25&lt;$AA$25),100,0)</f>
        <v>0</v>
      </c>
      <c r="U307" s="18">
        <v>0</v>
      </c>
      <c r="V307" s="18">
        <v>0</v>
      </c>
      <c r="W307" s="18">
        <f>IF(AND($P$200=(S307-120),$Z$25&gt;=$AA$25),100,0)</f>
        <v>0</v>
      </c>
      <c r="X307" s="18">
        <f>X306+1</f>
        <v>113</v>
      </c>
      <c r="Y307" s="18">
        <f>IF(AND($P$210=(X307-120),$Z$20&lt;$AA$20),100,0)</f>
        <v>0</v>
      </c>
      <c r="Z307" s="18">
        <v>0</v>
      </c>
      <c r="AA307" s="18">
        <v>0</v>
      </c>
      <c r="AB307" s="18">
        <f>IF(AND($P$210=(X307-120),$Z$20&gt;=$AA$20),100,0)</f>
        <v>0</v>
      </c>
    </row>
    <row r="308" spans="14:28" s="17" customFormat="1" ht="0.95" customHeight="1" x14ac:dyDescent="0.2">
      <c r="N308" s="18"/>
      <c r="O308" s="18"/>
      <c r="P308" s="18"/>
      <c r="Q308" s="18"/>
      <c r="R308" s="18"/>
      <c r="S308" s="18">
        <f>S307+1</f>
        <v>114</v>
      </c>
      <c r="T308" s="18">
        <f>IF(AND($P$200=(S308-120),$Z$25&lt;$AA$25),100,0)</f>
        <v>0</v>
      </c>
      <c r="U308" s="18">
        <v>0</v>
      </c>
      <c r="V308" s="18">
        <v>0</v>
      </c>
      <c r="W308" s="18">
        <f>IF(AND($P$200=(S308-120),$Z$25&gt;=$AA$25),100,0)</f>
        <v>0</v>
      </c>
      <c r="X308" s="18">
        <f>X307+1</f>
        <v>114</v>
      </c>
      <c r="Y308" s="18">
        <f>IF(AND($P$210=(X308-120),$Z$20&lt;$AA$20),100,0)</f>
        <v>0</v>
      </c>
      <c r="Z308" s="18">
        <v>0</v>
      </c>
      <c r="AA308" s="18">
        <v>0</v>
      </c>
      <c r="AB308" s="18">
        <f>IF(AND($P$210=(X308-120),$Z$20&gt;=$AA$20),100,0)</f>
        <v>0</v>
      </c>
    </row>
    <row r="309" spans="14:28" s="17" customFormat="1" ht="0.95" customHeight="1" x14ac:dyDescent="0.2">
      <c r="N309" s="18"/>
      <c r="O309" s="18"/>
      <c r="P309" s="18"/>
      <c r="Q309" s="18"/>
      <c r="R309" s="18"/>
      <c r="S309" s="18">
        <f>S308+1</f>
        <v>115</v>
      </c>
      <c r="T309" s="18">
        <f>IF(AND($P$200=(S309-120),$Z$25&lt;$AA$25),100,0)</f>
        <v>0</v>
      </c>
      <c r="U309" s="18">
        <v>0</v>
      </c>
      <c r="V309" s="18">
        <v>0</v>
      </c>
      <c r="W309" s="18">
        <f>IF(AND($P$200=(S309-120),$Z$25&gt;=$AA$25),100,0)</f>
        <v>0</v>
      </c>
      <c r="X309" s="18">
        <f>X308+1</f>
        <v>115</v>
      </c>
      <c r="Y309" s="18">
        <f>IF(AND($P$210=(X309-120),$Z$20&lt;$AA$20),100,0)</f>
        <v>0</v>
      </c>
      <c r="Z309" s="18">
        <v>0</v>
      </c>
      <c r="AA309" s="18">
        <v>0</v>
      </c>
      <c r="AB309" s="18">
        <f>IF(AND($P$210=(X309-120),$Z$20&gt;=$AA$20),100,0)</f>
        <v>0</v>
      </c>
    </row>
    <row r="310" spans="14:28" s="17" customFormat="1" ht="0.95" customHeight="1" x14ac:dyDescent="0.2">
      <c r="N310" s="18"/>
      <c r="O310" s="18"/>
      <c r="P310" s="18"/>
      <c r="Q310" s="18"/>
      <c r="R310" s="18"/>
      <c r="S310" s="18">
        <f>S309+1</f>
        <v>116</v>
      </c>
      <c r="T310" s="18">
        <f>IF(AND($P$200=(S310-120),$Z$25&lt;$AA$25),100,0)</f>
        <v>0</v>
      </c>
      <c r="U310" s="18">
        <v>0</v>
      </c>
      <c r="V310" s="18">
        <v>0</v>
      </c>
      <c r="W310" s="18">
        <f>IF(AND($P$200=(S310-120),$Z$25&gt;=$AA$25),100,0)</f>
        <v>0</v>
      </c>
      <c r="X310" s="18">
        <f>X309+1</f>
        <v>116</v>
      </c>
      <c r="Y310" s="18">
        <f>IF(AND($P$210=(X310-120),$Z$20&lt;$AA$20),100,0)</f>
        <v>0</v>
      </c>
      <c r="Z310" s="18">
        <v>0</v>
      </c>
      <c r="AA310" s="18">
        <v>0</v>
      </c>
      <c r="AB310" s="18">
        <f>IF(AND($P$210=(X310-120),$Z$20&gt;=$AA$20),100,0)</f>
        <v>0</v>
      </c>
    </row>
    <row r="311" spans="14:28" s="17" customFormat="1" ht="0.95" customHeight="1" x14ac:dyDescent="0.2">
      <c r="N311" s="18"/>
      <c r="O311" s="18"/>
      <c r="P311" s="18"/>
      <c r="Q311" s="18"/>
      <c r="R311" s="18"/>
      <c r="S311" s="18">
        <f>S310+1</f>
        <v>117</v>
      </c>
      <c r="T311" s="18">
        <f>IF(AND($P$200=(S311-120),$Z$25&lt;$AA$25),100,0)</f>
        <v>0</v>
      </c>
      <c r="U311" s="18">
        <v>0</v>
      </c>
      <c r="V311" s="18">
        <v>0</v>
      </c>
      <c r="W311" s="18">
        <f>IF(AND($P$200=(S311-120),$Z$25&gt;=$AA$25),100,0)</f>
        <v>0</v>
      </c>
      <c r="X311" s="18">
        <f>X310+1</f>
        <v>117</v>
      </c>
      <c r="Y311" s="18">
        <f>IF(AND($P$210=(X311-120),$Z$20&lt;$AA$20),100,0)</f>
        <v>0</v>
      </c>
      <c r="Z311" s="18">
        <v>0</v>
      </c>
      <c r="AA311" s="18">
        <v>0</v>
      </c>
      <c r="AB311" s="18">
        <f>IF(AND($P$210=(X311-120),$Z$20&gt;=$AA$20),100,0)</f>
        <v>0</v>
      </c>
    </row>
    <row r="312" spans="14:28" s="17" customFormat="1" ht="0.95" customHeight="1" x14ac:dyDescent="0.2">
      <c r="N312" s="18"/>
      <c r="O312" s="18"/>
      <c r="P312" s="18"/>
      <c r="Q312" s="18"/>
      <c r="R312" s="18"/>
      <c r="S312" s="18">
        <f>S311+1</f>
        <v>118</v>
      </c>
      <c r="T312" s="18">
        <f>IF(AND($P$200=(S312-120),$Z$25&lt;$AA$25),100,0)</f>
        <v>0</v>
      </c>
      <c r="U312" s="18">
        <v>0</v>
      </c>
      <c r="V312" s="18">
        <v>0</v>
      </c>
      <c r="W312" s="18">
        <f>IF(AND($P$200=(S312-120),$Z$25&gt;=$AA$25),100,0)</f>
        <v>100</v>
      </c>
      <c r="X312" s="18">
        <f>X311+1</f>
        <v>118</v>
      </c>
      <c r="Y312" s="18">
        <f>IF(AND($P$210=(X312-120),$Z$20&lt;$AA$20),100,0)</f>
        <v>0</v>
      </c>
      <c r="Z312" s="18">
        <v>0</v>
      </c>
      <c r="AA312" s="18">
        <v>0</v>
      </c>
      <c r="AB312" s="18">
        <f>IF(AND($P$210=(X312-120),$Z$20&gt;=$AA$20),100,0)</f>
        <v>0</v>
      </c>
    </row>
    <row r="313" spans="14:28" s="17" customFormat="1" ht="0.95" customHeight="1" x14ac:dyDescent="0.2">
      <c r="N313" s="18"/>
      <c r="O313" s="18"/>
      <c r="P313" s="18"/>
      <c r="Q313" s="18"/>
      <c r="R313" s="18"/>
      <c r="S313" s="18">
        <f>S312+1</f>
        <v>119</v>
      </c>
      <c r="T313" s="18">
        <f>IF(AND($P$200=(S313-120),$Z$25&lt;$AA$25),100,0)</f>
        <v>0</v>
      </c>
      <c r="U313" s="18">
        <v>0</v>
      </c>
      <c r="V313" s="18">
        <v>0</v>
      </c>
      <c r="W313" s="18">
        <f>IF(AND($P$200=(S313-120),$Z$25&gt;=$AA$25),100,0)</f>
        <v>0</v>
      </c>
      <c r="X313" s="18">
        <f>X312+1</f>
        <v>119</v>
      </c>
      <c r="Y313" s="18">
        <f>IF(AND($P$210=(X313-120),$Z$20&lt;$AA$20),100,0)</f>
        <v>0</v>
      </c>
      <c r="Z313" s="18">
        <v>0</v>
      </c>
      <c r="AA313" s="18">
        <v>0</v>
      </c>
      <c r="AB313" s="18">
        <f>IF(AND($P$210=(X313-120),$Z$20&gt;=$AA$20),100,0)</f>
        <v>0</v>
      </c>
    </row>
    <row r="314" spans="14:28" s="17" customFormat="1" ht="0.95" customHeight="1" x14ac:dyDescent="0.2">
      <c r="N314" s="18"/>
    </row>
    <row r="315" spans="14:28" s="17" customFormat="1" ht="0.95" customHeight="1" x14ac:dyDescent="0.2"/>
    <row r="316" spans="14:28" s="17" customFormat="1" ht="0.95" customHeight="1" x14ac:dyDescent="0.2"/>
    <row r="317" spans="14:28" s="17" customFormat="1" ht="0.95" customHeight="1" x14ac:dyDescent="0.2"/>
    <row r="318" spans="14:28" s="16" customFormat="1" ht="0.95" customHeight="1" x14ac:dyDescent="0.2"/>
    <row r="319" spans="14:28" s="16" customFormat="1" ht="0.95" customHeight="1" x14ac:dyDescent="0.2"/>
    <row r="320" spans="14:28" s="16" customFormat="1" ht="0.95" customHeight="1" x14ac:dyDescent="0.2"/>
    <row r="321" ht="9.9499999999999993" customHeight="1" x14ac:dyDescent="0.2"/>
    <row r="322" ht="9.9499999999999993" customHeight="1" x14ac:dyDescent="0.2"/>
    <row r="323" ht="9.9499999999999993" customHeight="1" x14ac:dyDescent="0.2"/>
    <row r="324" ht="9.9499999999999993" customHeight="1" x14ac:dyDescent="0.2"/>
    <row r="325" ht="9.9499999999999993" customHeight="1" x14ac:dyDescent="0.2"/>
    <row r="326" ht="9.9499999999999993" customHeight="1" x14ac:dyDescent="0.2"/>
    <row r="327" ht="9.9499999999999993" customHeight="1" x14ac:dyDescent="0.2"/>
    <row r="328" ht="9.9499999999999993" customHeight="1" x14ac:dyDescent="0.2"/>
    <row r="329" ht="9.9499999999999993" customHeight="1" x14ac:dyDescent="0.2"/>
    <row r="330" ht="9.9499999999999993" customHeight="1" x14ac:dyDescent="0.2"/>
    <row r="331" ht="9.9499999999999993" customHeight="1" x14ac:dyDescent="0.2"/>
    <row r="332" ht="9.9499999999999993" customHeight="1" x14ac:dyDescent="0.2"/>
    <row r="333" ht="9.9499999999999993" customHeight="1" x14ac:dyDescent="0.2"/>
    <row r="334" ht="9.9499999999999993" customHeight="1" x14ac:dyDescent="0.2"/>
    <row r="335" ht="9.9499999999999993" customHeight="1" x14ac:dyDescent="0.2"/>
    <row r="336" ht="9.9499999999999993" customHeight="1" x14ac:dyDescent="0.2"/>
    <row r="337" ht="9.9499999999999993" customHeight="1" x14ac:dyDescent="0.2"/>
    <row r="338" ht="9.9499999999999993" customHeight="1" x14ac:dyDescent="0.2"/>
    <row r="339" ht="9.9499999999999993" customHeight="1" x14ac:dyDescent="0.2"/>
    <row r="340" ht="9.9499999999999993" customHeight="1" x14ac:dyDescent="0.2"/>
    <row r="341" ht="9.9499999999999993" customHeight="1" x14ac:dyDescent="0.2"/>
    <row r="342" ht="9.9499999999999993" customHeight="1" x14ac:dyDescent="0.2"/>
    <row r="343" ht="9.9499999999999993" customHeight="1" x14ac:dyDescent="0.2"/>
    <row r="344" ht="9.9499999999999993" customHeight="1" x14ac:dyDescent="0.2"/>
    <row r="345" ht="9.9499999999999993" customHeight="1" x14ac:dyDescent="0.2"/>
    <row r="346" ht="9.9499999999999993" customHeight="1" x14ac:dyDescent="0.2"/>
    <row r="347" ht="9.9499999999999993" customHeight="1" x14ac:dyDescent="0.2"/>
    <row r="348" ht="9.9499999999999993" customHeight="1" x14ac:dyDescent="0.2"/>
    <row r="349" ht="9.9499999999999993" customHeight="1" x14ac:dyDescent="0.2"/>
    <row r="350" ht="9.9499999999999993" customHeight="1" x14ac:dyDescent="0.2"/>
    <row r="351" ht="9.9499999999999993" customHeight="1" x14ac:dyDescent="0.2"/>
    <row r="352" ht="9.9499999999999993" customHeight="1" x14ac:dyDescent="0.2"/>
    <row r="353" ht="9.9499999999999993" customHeight="1" x14ac:dyDescent="0.2"/>
    <row r="354" ht="9.9499999999999993" customHeight="1" x14ac:dyDescent="0.2"/>
    <row r="355" ht="9.9499999999999993" customHeight="1" x14ac:dyDescent="0.2"/>
    <row r="356" ht="9.9499999999999993" customHeight="1" x14ac:dyDescent="0.2"/>
    <row r="357" ht="9.9499999999999993" customHeight="1" x14ac:dyDescent="0.2"/>
    <row r="358" ht="9.9499999999999993" customHeight="1" x14ac:dyDescent="0.2"/>
    <row r="359" ht="9.9499999999999993" customHeight="1" x14ac:dyDescent="0.2"/>
    <row r="360" ht="9.9499999999999993" customHeight="1" x14ac:dyDescent="0.2"/>
    <row r="361" ht="9.9499999999999993" customHeight="1" x14ac:dyDescent="0.2"/>
    <row r="362" ht="9.9499999999999993" customHeight="1" x14ac:dyDescent="0.2"/>
    <row r="363" ht="9.9499999999999993" customHeight="1" x14ac:dyDescent="0.2"/>
    <row r="364" ht="9.9499999999999993" customHeight="1" x14ac:dyDescent="0.2"/>
    <row r="365" ht="9.9499999999999993" customHeight="1" x14ac:dyDescent="0.2"/>
    <row r="366" ht="9.9499999999999993" customHeight="1" x14ac:dyDescent="0.2"/>
    <row r="367" ht="9.9499999999999993" customHeight="1" x14ac:dyDescent="0.2"/>
    <row r="368" ht="9.9499999999999993" customHeight="1" x14ac:dyDescent="0.2"/>
    <row r="369" ht="9.9499999999999993" customHeight="1" x14ac:dyDescent="0.2"/>
    <row r="370" ht="9.9499999999999993" customHeight="1" x14ac:dyDescent="0.2"/>
    <row r="371" ht="9.9499999999999993" customHeight="1" x14ac:dyDescent="0.2"/>
    <row r="372" ht="9.9499999999999993" customHeight="1" x14ac:dyDescent="0.2"/>
    <row r="373" ht="9.9499999999999993" customHeight="1" x14ac:dyDescent="0.2"/>
    <row r="374" ht="9.9499999999999993" customHeight="1" x14ac:dyDescent="0.2"/>
    <row r="375" ht="9.9499999999999993" customHeight="1" x14ac:dyDescent="0.2"/>
    <row r="376" ht="9.9499999999999993" customHeight="1" x14ac:dyDescent="0.2"/>
    <row r="377" ht="9.9499999999999993" customHeight="1" x14ac:dyDescent="0.2"/>
    <row r="378" ht="9.9499999999999993" customHeight="1" x14ac:dyDescent="0.2"/>
    <row r="379" ht="9.9499999999999993" customHeight="1" x14ac:dyDescent="0.2"/>
    <row r="380" ht="9.9499999999999993" customHeight="1" x14ac:dyDescent="0.2"/>
    <row r="381" ht="9.9499999999999993" customHeight="1" x14ac:dyDescent="0.2"/>
    <row r="382" ht="9.9499999999999993" customHeight="1" x14ac:dyDescent="0.2"/>
    <row r="383" ht="9.9499999999999993" customHeight="1" x14ac:dyDescent="0.2"/>
    <row r="384" ht="9.9499999999999993" customHeight="1" x14ac:dyDescent="0.2"/>
    <row r="385" ht="9.9499999999999993" customHeight="1" x14ac:dyDescent="0.2"/>
    <row r="386" ht="9.9499999999999993" customHeight="1" x14ac:dyDescent="0.2"/>
    <row r="387" ht="9.9499999999999993" customHeight="1" x14ac:dyDescent="0.2"/>
    <row r="388" ht="9.9499999999999993" customHeight="1" x14ac:dyDescent="0.2"/>
    <row r="389" ht="9.9499999999999993" customHeight="1" x14ac:dyDescent="0.2"/>
    <row r="390" ht="9.9499999999999993" customHeight="1" x14ac:dyDescent="0.2"/>
    <row r="391" ht="9.9499999999999993" customHeight="1" x14ac:dyDescent="0.2"/>
    <row r="392" ht="9.9499999999999993" customHeight="1" x14ac:dyDescent="0.2"/>
    <row r="393" ht="9.9499999999999993" customHeight="1" x14ac:dyDescent="0.2"/>
    <row r="394" ht="9.9499999999999993" customHeight="1" x14ac:dyDescent="0.2"/>
    <row r="395" ht="9.9499999999999993" customHeight="1" x14ac:dyDescent="0.2"/>
    <row r="396" ht="9.9499999999999993" customHeight="1" x14ac:dyDescent="0.2"/>
    <row r="397" ht="9.9499999999999993" customHeight="1" x14ac:dyDescent="0.2"/>
    <row r="398" ht="9.9499999999999993" customHeight="1" x14ac:dyDescent="0.2"/>
    <row r="399" ht="9.9499999999999993" customHeight="1" x14ac:dyDescent="0.2"/>
    <row r="400" ht="9.9499999999999993" customHeight="1" x14ac:dyDescent="0.2"/>
    <row r="401" ht="9.9499999999999993" customHeight="1" x14ac:dyDescent="0.2"/>
    <row r="402" ht="9.9499999999999993" customHeight="1" x14ac:dyDescent="0.2"/>
    <row r="403" ht="9.9499999999999993" customHeight="1" x14ac:dyDescent="0.2"/>
    <row r="404" ht="9.9499999999999993" customHeight="1" x14ac:dyDescent="0.2"/>
    <row r="405" ht="9.9499999999999993" customHeight="1" x14ac:dyDescent="0.2"/>
    <row r="406" ht="9.9499999999999993" customHeight="1" x14ac:dyDescent="0.2"/>
    <row r="407" ht="9.9499999999999993" customHeight="1" x14ac:dyDescent="0.2"/>
    <row r="408" ht="9.9499999999999993" customHeight="1" x14ac:dyDescent="0.2"/>
    <row r="409" ht="9.9499999999999993" customHeight="1" x14ac:dyDescent="0.2"/>
    <row r="410" ht="9.9499999999999993" customHeight="1" x14ac:dyDescent="0.2"/>
    <row r="411" ht="9.9499999999999993" customHeight="1" x14ac:dyDescent="0.2"/>
    <row r="412" ht="9.9499999999999993" customHeight="1" x14ac:dyDescent="0.2"/>
    <row r="413" ht="9.9499999999999993" customHeight="1" x14ac:dyDescent="0.2"/>
    <row r="414" ht="9.9499999999999993" customHeight="1" x14ac:dyDescent="0.2"/>
    <row r="415" ht="9.9499999999999993" customHeight="1" x14ac:dyDescent="0.2"/>
    <row r="416" ht="9.9499999999999993" customHeight="1" x14ac:dyDescent="0.2"/>
    <row r="417" ht="9.9499999999999993" customHeight="1" x14ac:dyDescent="0.2"/>
    <row r="418" ht="9.9499999999999993" customHeight="1" x14ac:dyDescent="0.2"/>
    <row r="419" ht="9.9499999999999993" customHeight="1" x14ac:dyDescent="0.2"/>
    <row r="420" ht="9.9499999999999993" customHeight="1" x14ac:dyDescent="0.2"/>
    <row r="421" ht="9.9499999999999993" customHeight="1" x14ac:dyDescent="0.2"/>
    <row r="422" ht="9.9499999999999993" customHeight="1" x14ac:dyDescent="0.2"/>
    <row r="423" ht="9.9499999999999993" customHeight="1" x14ac:dyDescent="0.2"/>
    <row r="424" ht="9.9499999999999993" customHeight="1" x14ac:dyDescent="0.2"/>
    <row r="425" ht="9.9499999999999993" customHeight="1" x14ac:dyDescent="0.2"/>
    <row r="426" ht="9.9499999999999993" customHeight="1" x14ac:dyDescent="0.2"/>
    <row r="427" ht="9.9499999999999993" customHeight="1" x14ac:dyDescent="0.2"/>
    <row r="428" ht="9.9499999999999993" customHeight="1" x14ac:dyDescent="0.2"/>
    <row r="429" ht="9.9499999999999993" customHeight="1" x14ac:dyDescent="0.2"/>
    <row r="430" ht="9.9499999999999993" customHeight="1" x14ac:dyDescent="0.2"/>
    <row r="431" ht="9.9499999999999993" customHeight="1" x14ac:dyDescent="0.2"/>
    <row r="432" ht="9.9499999999999993" customHeight="1" x14ac:dyDescent="0.2"/>
    <row r="433" ht="9.9499999999999993" customHeight="1" x14ac:dyDescent="0.2"/>
    <row r="434" ht="9.9499999999999993" customHeight="1" x14ac:dyDescent="0.2"/>
    <row r="435" ht="9.9499999999999993" customHeight="1" x14ac:dyDescent="0.2"/>
    <row r="436" ht="9.9499999999999993" customHeight="1" x14ac:dyDescent="0.2"/>
    <row r="437" ht="9.9499999999999993" customHeight="1" x14ac:dyDescent="0.2"/>
    <row r="438" ht="9.9499999999999993" customHeight="1" x14ac:dyDescent="0.2"/>
    <row r="439" ht="9.9499999999999993" customHeight="1" x14ac:dyDescent="0.2"/>
    <row r="440" ht="9.9499999999999993" customHeight="1" x14ac:dyDescent="0.2"/>
    <row r="441" ht="9.9499999999999993" customHeight="1" x14ac:dyDescent="0.2"/>
    <row r="442" ht="9.9499999999999993" customHeight="1" x14ac:dyDescent="0.2"/>
    <row r="443" ht="9.9499999999999993" customHeight="1" x14ac:dyDescent="0.2"/>
    <row r="444" ht="9.9499999999999993" customHeight="1" x14ac:dyDescent="0.2"/>
  </sheetData>
  <sheetProtection password="CA5A" sheet="1" objects="1" scenarios="1"/>
  <mergeCells count="11">
    <mergeCell ref="P61:U61"/>
    <mergeCell ref="W61:AB61"/>
    <mergeCell ref="O3:O4"/>
    <mergeCell ref="W3:W4"/>
    <mergeCell ref="T56:W56"/>
    <mergeCell ref="T1:Z1"/>
    <mergeCell ref="X3:AB3"/>
    <mergeCell ref="X4:Y4"/>
    <mergeCell ref="Z4:AA4"/>
    <mergeCell ref="Y2:AB2"/>
    <mergeCell ref="P3:U3"/>
  </mergeCells>
  <pageMargins left="0.76" right="0.75" top="0.89" bottom="0.86" header="0.5" footer="0.5"/>
  <pageSetup paperSize="9" scale="91" orientation="portrait" verticalDpi="96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2"/>
  <sheetViews>
    <sheetView topLeftCell="A13" zoomScale="130" zoomScaleNormal="130" workbookViewId="0">
      <selection activeCell="J32" sqref="J32"/>
    </sheetView>
  </sheetViews>
  <sheetFormatPr defaultRowHeight="15" x14ac:dyDescent="0.25"/>
  <cols>
    <col min="4" max="5" width="13.7109375" bestFit="1" customWidth="1"/>
  </cols>
  <sheetData>
    <row r="1" spans="1:43" ht="15.75" customHeight="1" x14ac:dyDescent="0.25">
      <c r="A1" s="13" t="s">
        <v>60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P1" s="13" t="s">
        <v>61</v>
      </c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G1" t="s">
        <v>62</v>
      </c>
    </row>
    <row r="2" spans="1:43" x14ac:dyDescent="0.25">
      <c r="A2" t="s">
        <v>63</v>
      </c>
      <c r="B2" t="s">
        <v>64</v>
      </c>
      <c r="H2" t="s">
        <v>65</v>
      </c>
      <c r="I2" t="s">
        <v>66</v>
      </c>
      <c r="P2" t="s">
        <v>63</v>
      </c>
      <c r="Q2" t="s">
        <v>64</v>
      </c>
      <c r="W2" t="s">
        <v>65</v>
      </c>
      <c r="X2" t="str">
        <f>I2</f>
        <v>Right of center (5mm from edge of LSP Patch)</v>
      </c>
      <c r="AG2" t="s">
        <v>67</v>
      </c>
      <c r="AN2" t="s">
        <v>68</v>
      </c>
    </row>
    <row r="3" spans="1:43" x14ac:dyDescent="0.25">
      <c r="A3" t="s">
        <v>69</v>
      </c>
      <c r="B3">
        <v>1.8919999999999999</v>
      </c>
      <c r="C3" t="s">
        <v>70</v>
      </c>
      <c r="H3" t="s">
        <v>69</v>
      </c>
      <c r="I3">
        <v>1.9450000000000001</v>
      </c>
      <c r="J3" t="s">
        <v>70</v>
      </c>
      <c r="P3" t="s">
        <v>69</v>
      </c>
      <c r="Q3">
        <v>1.87</v>
      </c>
      <c r="R3" t="s">
        <v>70</v>
      </c>
      <c r="W3" t="s">
        <v>69</v>
      </c>
      <c r="X3">
        <v>1.82</v>
      </c>
      <c r="Y3" t="s">
        <v>70</v>
      </c>
      <c r="AG3" t="s">
        <v>69</v>
      </c>
      <c r="AH3">
        <v>1.78</v>
      </c>
      <c r="AI3" t="s">
        <v>70</v>
      </c>
      <c r="AN3" t="s">
        <v>69</v>
      </c>
      <c r="AO3">
        <v>1.78</v>
      </c>
      <c r="AP3" t="s">
        <v>70</v>
      </c>
    </row>
    <row r="5" spans="1:43" x14ac:dyDescent="0.25">
      <c r="A5" t="s">
        <v>71</v>
      </c>
      <c r="B5" t="s">
        <v>72</v>
      </c>
      <c r="H5" t="s">
        <v>71</v>
      </c>
      <c r="I5" t="s">
        <v>72</v>
      </c>
      <c r="P5" t="s">
        <v>71</v>
      </c>
      <c r="Q5" t="s">
        <v>72</v>
      </c>
      <c r="W5" t="s">
        <v>71</v>
      </c>
      <c r="X5" t="s">
        <v>72</v>
      </c>
      <c r="AG5" t="s">
        <v>71</v>
      </c>
      <c r="AH5" t="s">
        <v>73</v>
      </c>
      <c r="AN5" t="s">
        <v>71</v>
      </c>
      <c r="AO5" t="s">
        <v>73</v>
      </c>
    </row>
    <row r="6" spans="1:43" x14ac:dyDescent="0.25">
      <c r="A6" t="s">
        <v>74</v>
      </c>
      <c r="B6" t="s">
        <v>75</v>
      </c>
      <c r="H6" t="s">
        <v>74</v>
      </c>
      <c r="I6" t="s">
        <v>75</v>
      </c>
      <c r="P6" t="s">
        <v>74</v>
      </c>
      <c r="Q6" t="s">
        <v>75</v>
      </c>
      <c r="W6" t="s">
        <v>74</v>
      </c>
      <c r="X6" t="s">
        <v>75</v>
      </c>
      <c r="AG6" t="s">
        <v>74</v>
      </c>
      <c r="AH6" t="s">
        <v>75</v>
      </c>
      <c r="AN6" t="s">
        <v>74</v>
      </c>
      <c r="AO6" t="s">
        <v>75</v>
      </c>
    </row>
    <row r="7" spans="1:43" x14ac:dyDescent="0.25">
      <c r="A7" t="s">
        <v>76</v>
      </c>
      <c r="B7" t="s">
        <v>77</v>
      </c>
      <c r="H7" t="s">
        <v>76</v>
      </c>
      <c r="I7" t="s">
        <v>77</v>
      </c>
      <c r="P7" t="s">
        <v>76</v>
      </c>
      <c r="Q7" t="s">
        <v>77</v>
      </c>
      <c r="W7" t="s">
        <v>76</v>
      </c>
      <c r="X7" t="s">
        <v>77</v>
      </c>
      <c r="AG7" t="s">
        <v>76</v>
      </c>
      <c r="AH7" t="s">
        <v>78</v>
      </c>
      <c r="AN7" t="s">
        <v>76</v>
      </c>
      <c r="AO7" t="s">
        <v>78</v>
      </c>
    </row>
    <row r="9" spans="1:43" ht="13.5" customHeight="1" x14ac:dyDescent="0.25">
      <c r="B9" s="13" t="s">
        <v>79</v>
      </c>
      <c r="C9" s="13"/>
      <c r="D9" s="13"/>
      <c r="E9" s="13"/>
      <c r="F9" s="13"/>
      <c r="I9" s="13" t="s">
        <v>79</v>
      </c>
      <c r="J9" s="13"/>
      <c r="K9" s="13"/>
      <c r="L9" s="13"/>
      <c r="M9" s="13"/>
      <c r="Q9" s="13" t="s">
        <v>79</v>
      </c>
      <c r="R9" s="13"/>
      <c r="S9" s="13"/>
      <c r="T9" s="13"/>
      <c r="U9" s="13"/>
      <c r="X9" s="13" t="s">
        <v>79</v>
      </c>
      <c r="Y9" s="13"/>
      <c r="Z9" s="13"/>
      <c r="AA9" s="13"/>
      <c r="AB9" s="13"/>
      <c r="AI9" t="str">
        <f>CONCATENATE($AG$2,"_",AI10)</f>
        <v>3 GW/cm^2_s1</v>
      </c>
      <c r="AJ9" t="str">
        <f>CONCATENATE($AG$2,"_",AJ10)</f>
        <v>3 GW/cm^2_s3</v>
      </c>
      <c r="AP9" t="str">
        <f>CONCATENATE($AN$2,"_",AP10)</f>
        <v>5 GW/cm^2_s1</v>
      </c>
      <c r="AQ9" t="str">
        <f>CONCATENATE($AN$2,"_",AQ10)</f>
        <v>5 GW/cm^2_s3</v>
      </c>
    </row>
    <row r="10" spans="1:43" x14ac:dyDescent="0.25">
      <c r="D10" t="str">
        <f>CONCATENATE("AB_",$A$2,"_",D12)</f>
        <v>AB_Hole 1_s1</v>
      </c>
      <c r="E10" t="str">
        <f>CONCATENATE("AB_",$A$2,"_",E12)</f>
        <v>AB_Hole 1_s3</v>
      </c>
      <c r="K10" t="str">
        <f>CONCATENATE("AB_",$H$2,"_",K12)</f>
        <v>AB_Hole 2_s1</v>
      </c>
      <c r="L10" t="str">
        <f>CONCATENATE("AB_",$H$2,"_",L12)</f>
        <v>AB_Hole 2_s3</v>
      </c>
      <c r="S10" t="str">
        <f>CONCATENATE("NAB_",$A$2,"_",S12)</f>
        <v>NAB_Hole 1_s1</v>
      </c>
      <c r="T10" t="str">
        <f>CONCATENATE("NAB_",$A$2,"_",T12)</f>
        <v>NAB_Hole 1_s3</v>
      </c>
      <c r="Z10" t="str">
        <f>CONCATENATE("NAB_",$H$2,"_",Z12)</f>
        <v>NAB_Hole 2_s1</v>
      </c>
      <c r="AA10" t="str">
        <f>CONCATENATE("NAB_",$H$2,"_",AA12)</f>
        <v>NAB_Hole 2_s3</v>
      </c>
      <c r="AI10" t="s">
        <v>80</v>
      </c>
      <c r="AJ10" t="s">
        <v>81</v>
      </c>
      <c r="AP10" t="s">
        <v>80</v>
      </c>
      <c r="AQ10" t="s">
        <v>81</v>
      </c>
    </row>
    <row r="11" spans="1:43" x14ac:dyDescent="0.25">
      <c r="A11" t="s">
        <v>82</v>
      </c>
      <c r="B11" s="13" t="s">
        <v>83</v>
      </c>
      <c r="C11" s="13"/>
      <c r="D11" s="13" t="s">
        <v>84</v>
      </c>
      <c r="E11" s="13"/>
      <c r="F11" t="s">
        <v>85</v>
      </c>
      <c r="H11" t="s">
        <v>82</v>
      </c>
      <c r="I11" s="13" t="s">
        <v>83</v>
      </c>
      <c r="J11" s="13"/>
      <c r="K11" s="13" t="s">
        <v>84</v>
      </c>
      <c r="L11" s="13"/>
      <c r="M11" t="s">
        <v>85</v>
      </c>
      <c r="P11" t="s">
        <v>82</v>
      </c>
      <c r="Q11" s="13" t="s">
        <v>83</v>
      </c>
      <c r="R11" s="13"/>
      <c r="S11" s="13" t="s">
        <v>84</v>
      </c>
      <c r="T11" s="13"/>
      <c r="U11" t="s">
        <v>85</v>
      </c>
      <c r="W11" t="s">
        <v>82</v>
      </c>
      <c r="X11" s="13" t="s">
        <v>83</v>
      </c>
      <c r="Y11" s="13"/>
      <c r="Z11" s="13" t="s">
        <v>84</v>
      </c>
      <c r="AA11" s="13"/>
      <c r="AB11" t="s">
        <v>85</v>
      </c>
      <c r="AG11" t="s">
        <v>86</v>
      </c>
      <c r="AH11" t="s">
        <v>86</v>
      </c>
      <c r="AI11" t="s">
        <v>87</v>
      </c>
      <c r="AJ11" t="s">
        <v>88</v>
      </c>
      <c r="AN11" t="s">
        <v>86</v>
      </c>
      <c r="AP11" t="s">
        <v>87</v>
      </c>
      <c r="AQ11" t="s">
        <v>88</v>
      </c>
    </row>
    <row r="12" spans="1:43" x14ac:dyDescent="0.25">
      <c r="A12" t="s">
        <v>89</v>
      </c>
      <c r="B12" t="s">
        <v>90</v>
      </c>
      <c r="C12" t="s">
        <v>91</v>
      </c>
      <c r="D12" t="s">
        <v>80</v>
      </c>
      <c r="E12" t="s">
        <v>81</v>
      </c>
      <c r="F12" t="s">
        <v>92</v>
      </c>
      <c r="H12" t="s">
        <v>89</v>
      </c>
      <c r="I12" t="s">
        <v>90</v>
      </c>
      <c r="J12" t="s">
        <v>91</v>
      </c>
      <c r="K12" t="s">
        <v>80</v>
      </c>
      <c r="L12" t="s">
        <v>81</v>
      </c>
      <c r="M12" t="s">
        <v>92</v>
      </c>
      <c r="P12" t="s">
        <v>89</v>
      </c>
      <c r="Q12" t="s">
        <v>90</v>
      </c>
      <c r="R12" t="s">
        <v>91</v>
      </c>
      <c r="S12" t="s">
        <v>80</v>
      </c>
      <c r="T12" t="s">
        <v>81</v>
      </c>
      <c r="U12" t="s">
        <v>92</v>
      </c>
      <c r="W12" t="s">
        <v>89</v>
      </c>
      <c r="X12" t="s">
        <v>90</v>
      </c>
      <c r="Y12" t="s">
        <v>91</v>
      </c>
      <c r="Z12" t="s">
        <v>80</v>
      </c>
      <c r="AA12" t="s">
        <v>81</v>
      </c>
      <c r="AB12" t="s">
        <v>92</v>
      </c>
      <c r="AG12">
        <v>2.5000000000000001E-2</v>
      </c>
      <c r="AH12">
        <f>AG12*1000</f>
        <v>25</v>
      </c>
      <c r="AI12">
        <v>-269.541</v>
      </c>
      <c r="AJ12">
        <v>-276.75799999999998</v>
      </c>
      <c r="AN12">
        <v>2.5000000000000001E-2</v>
      </c>
      <c r="AO12">
        <f>AN12*1000</f>
        <v>25</v>
      </c>
      <c r="AP12">
        <v>-267.91699999999997</v>
      </c>
      <c r="AQ12">
        <v>-286.101</v>
      </c>
    </row>
    <row r="13" spans="1:43" x14ac:dyDescent="0.25">
      <c r="A13">
        <v>8</v>
      </c>
      <c r="B13">
        <v>-59.172926489770717</v>
      </c>
      <c r="C13">
        <v>-66.778773212707975</v>
      </c>
      <c r="D13">
        <v>-65.664922748466552</v>
      </c>
      <c r="E13">
        <v>-60.28677695401214</v>
      </c>
      <c r="F13">
        <v>2.6890728972272058</v>
      </c>
      <c r="H13">
        <v>8</v>
      </c>
      <c r="I13">
        <v>-144.50271210732609</v>
      </c>
      <c r="J13">
        <v>-185.27607707958822</v>
      </c>
      <c r="K13">
        <v>-185.27607707958822</v>
      </c>
      <c r="L13">
        <v>-144.50271210732609</v>
      </c>
      <c r="M13">
        <v>0</v>
      </c>
      <c r="P13">
        <v>8</v>
      </c>
      <c r="Q13">
        <v>-488.14920490944525</v>
      </c>
      <c r="R13">
        <v>-625.83925212579925</v>
      </c>
      <c r="S13">
        <v>-559.74582906132275</v>
      </c>
      <c r="T13">
        <v>-554.24262797392169</v>
      </c>
      <c r="U13">
        <v>-68.790013592514654</v>
      </c>
      <c r="W13">
        <v>8</v>
      </c>
      <c r="X13">
        <v>-128.89472922163452</v>
      </c>
      <c r="Y13">
        <v>-128.89472922163452</v>
      </c>
      <c r="Z13">
        <v>-128.89472922163452</v>
      </c>
      <c r="AA13">
        <v>-128.89472922163452</v>
      </c>
      <c r="AB13">
        <v>0</v>
      </c>
      <c r="AG13">
        <v>7.4999999999999997E-2</v>
      </c>
      <c r="AH13">
        <f t="shared" ref="AH13:AH31" si="0">AG13*1000</f>
        <v>75</v>
      </c>
      <c r="AI13">
        <v>-230.06800000000001</v>
      </c>
      <c r="AJ13">
        <v>-231.04300000000001</v>
      </c>
      <c r="AN13">
        <v>7.4999999999999997E-2</v>
      </c>
      <c r="AO13">
        <f t="shared" ref="AO13:AO31" si="1">AN13*1000</f>
        <v>75</v>
      </c>
      <c r="AP13">
        <v>-284.71300000000002</v>
      </c>
      <c r="AQ13">
        <v>-288.89999999999998</v>
      </c>
    </row>
    <row r="14" spans="1:43" x14ac:dyDescent="0.25">
      <c r="A14">
        <v>24</v>
      </c>
      <c r="B14">
        <v>-182.75782522619227</v>
      </c>
      <c r="C14">
        <v>-206.2470116539086</v>
      </c>
      <c r="D14">
        <v>-205.02940414169365</v>
      </c>
      <c r="E14">
        <v>-183.97543273840722</v>
      </c>
      <c r="F14">
        <v>5.2074986122323867</v>
      </c>
      <c r="H14">
        <v>24</v>
      </c>
      <c r="I14">
        <v>-201.37690320055123</v>
      </c>
      <c r="J14">
        <v>-250.07592809430105</v>
      </c>
      <c r="K14">
        <v>-250.07592809430105</v>
      </c>
      <c r="L14">
        <v>-201.37690320055123</v>
      </c>
      <c r="M14">
        <v>0</v>
      </c>
      <c r="P14">
        <v>24</v>
      </c>
      <c r="Q14">
        <v>-368.01902586181086</v>
      </c>
      <c r="R14">
        <v>-501.14705592596772</v>
      </c>
      <c r="S14">
        <v>-448.07575920599618</v>
      </c>
      <c r="T14">
        <v>-421.0903225817824</v>
      </c>
      <c r="U14">
        <v>-65.182165120076363</v>
      </c>
      <c r="W14">
        <v>24</v>
      </c>
      <c r="X14">
        <v>-237.28250258316814</v>
      </c>
      <c r="Y14">
        <v>-248.76697808928748</v>
      </c>
      <c r="Z14">
        <v>-243.02474033622781</v>
      </c>
      <c r="AA14">
        <v>-243.02474033622781</v>
      </c>
      <c r="AB14">
        <v>-5.7422377530596762</v>
      </c>
      <c r="AG14">
        <v>0.125</v>
      </c>
      <c r="AH14">
        <f t="shared" si="0"/>
        <v>125</v>
      </c>
      <c r="AI14">
        <v>-195.501</v>
      </c>
      <c r="AJ14">
        <v>-194.78299999999999</v>
      </c>
      <c r="AN14">
        <v>0.125</v>
      </c>
      <c r="AO14">
        <f t="shared" si="1"/>
        <v>125</v>
      </c>
      <c r="AP14">
        <v>-286.36799999999999</v>
      </c>
      <c r="AQ14">
        <v>-279.30200000000002</v>
      </c>
    </row>
    <row r="15" spans="1:43" x14ac:dyDescent="0.25">
      <c r="A15">
        <v>40</v>
      </c>
      <c r="B15">
        <v>-264.8725817558165</v>
      </c>
      <c r="C15">
        <v>-297.33994450421716</v>
      </c>
      <c r="D15">
        <v>-296.34809108424668</v>
      </c>
      <c r="E15">
        <v>-265.86443517578698</v>
      </c>
      <c r="F15">
        <v>-5.5874047260527</v>
      </c>
      <c r="H15">
        <v>40</v>
      </c>
      <c r="I15">
        <v>-232.33340423277153</v>
      </c>
      <c r="J15">
        <v>-293.65009129682869</v>
      </c>
      <c r="K15">
        <v>-293.54847535238463</v>
      </c>
      <c r="L15">
        <v>-232.43502017721556</v>
      </c>
      <c r="M15">
        <v>2.4940784402317639</v>
      </c>
      <c r="P15">
        <v>40</v>
      </c>
      <c r="Q15">
        <v>-325.2535690409839</v>
      </c>
      <c r="R15">
        <v>-444.84561810516567</v>
      </c>
      <c r="S15">
        <v>-411.30121322521876</v>
      </c>
      <c r="T15">
        <v>-358.79797392093081</v>
      </c>
      <c r="U15">
        <v>-53.725385205520688</v>
      </c>
      <c r="W15">
        <v>40</v>
      </c>
      <c r="X15">
        <v>-311.2870092131929</v>
      </c>
      <c r="Y15">
        <v>-357.65982051297198</v>
      </c>
      <c r="Z15">
        <v>-340.1518318187413</v>
      </c>
      <c r="AA15">
        <v>-328.79499790742358</v>
      </c>
      <c r="AB15">
        <v>-22.480324460267823</v>
      </c>
      <c r="AG15">
        <v>0.17499999999999999</v>
      </c>
      <c r="AH15">
        <f t="shared" si="0"/>
        <v>175</v>
      </c>
      <c r="AI15">
        <v>-172.072</v>
      </c>
      <c r="AJ15">
        <v>-171.977</v>
      </c>
      <c r="AN15">
        <v>0.17499999999999999</v>
      </c>
      <c r="AO15">
        <f t="shared" si="1"/>
        <v>175</v>
      </c>
      <c r="AP15">
        <v>-260.77800000000002</v>
      </c>
      <c r="AQ15">
        <v>-258.18599999999998</v>
      </c>
    </row>
    <row r="16" spans="1:43" x14ac:dyDescent="0.25">
      <c r="A16">
        <v>56</v>
      </c>
      <c r="B16">
        <v>-273.68245701315664</v>
      </c>
      <c r="C16">
        <v>-317.31612287390044</v>
      </c>
      <c r="D16">
        <v>-307.35425641568798</v>
      </c>
      <c r="E16">
        <v>-283.64432347136909</v>
      </c>
      <c r="F16">
        <v>-18.314856512016039</v>
      </c>
      <c r="H16">
        <v>56</v>
      </c>
      <c r="I16">
        <v>-237.02065378613344</v>
      </c>
      <c r="J16">
        <v>-296.77891299091579</v>
      </c>
      <c r="K16">
        <v>-295.87331468989788</v>
      </c>
      <c r="L16">
        <v>-237.92625208715134</v>
      </c>
      <c r="M16">
        <v>7.3004705139348234</v>
      </c>
      <c r="P16">
        <v>56</v>
      </c>
      <c r="Q16">
        <v>-322.80025206403809</v>
      </c>
      <c r="R16">
        <v>-434.03632042155584</v>
      </c>
      <c r="S16">
        <v>-405.98551843645185</v>
      </c>
      <c r="T16">
        <v>-350.85105404914208</v>
      </c>
      <c r="U16">
        <v>-48.305418278809114</v>
      </c>
      <c r="W16">
        <v>56</v>
      </c>
      <c r="X16">
        <v>-326.08582275236392</v>
      </c>
      <c r="Y16">
        <v>-402.02748273231089</v>
      </c>
      <c r="Z16">
        <v>-377.86843726856773</v>
      </c>
      <c r="AA16">
        <v>-350.24486821610708</v>
      </c>
      <c r="AB16">
        <v>-35.369740433433385</v>
      </c>
      <c r="AG16">
        <v>0.22500000000000001</v>
      </c>
      <c r="AH16">
        <f t="shared" si="0"/>
        <v>225</v>
      </c>
      <c r="AI16">
        <v>-160.07300000000001</v>
      </c>
      <c r="AJ16">
        <v>-159.464</v>
      </c>
      <c r="AN16">
        <v>0.22500000000000001</v>
      </c>
      <c r="AO16">
        <f t="shared" si="1"/>
        <v>225</v>
      </c>
      <c r="AP16">
        <v>-205.59899999999999</v>
      </c>
      <c r="AQ16">
        <v>-236.84899999999999</v>
      </c>
    </row>
    <row r="17" spans="1:43" x14ac:dyDescent="0.25">
      <c r="A17">
        <v>72</v>
      </c>
      <c r="B17">
        <v>-269.18919981874137</v>
      </c>
      <c r="C17">
        <v>-302.4289573187898</v>
      </c>
      <c r="D17">
        <v>-297.06077483537791</v>
      </c>
      <c r="E17">
        <v>-274.55738230215326</v>
      </c>
      <c r="F17">
        <v>-12.231913210508354</v>
      </c>
      <c r="H17">
        <v>72</v>
      </c>
      <c r="I17">
        <v>-236.16893705342954</v>
      </c>
      <c r="J17">
        <v>-289.65024263807607</v>
      </c>
      <c r="K17">
        <v>-287.95551679324797</v>
      </c>
      <c r="L17">
        <v>-237.86366289825764</v>
      </c>
      <c r="M17">
        <v>9.3682471733148489</v>
      </c>
      <c r="P17">
        <v>72</v>
      </c>
      <c r="Q17">
        <v>-309.9978743907713</v>
      </c>
      <c r="R17">
        <v>-427.36128060696052</v>
      </c>
      <c r="S17">
        <v>-392.2126432547779</v>
      </c>
      <c r="T17">
        <v>-345.14651174295392</v>
      </c>
      <c r="U17">
        <v>-53.756274943437838</v>
      </c>
      <c r="W17">
        <v>72</v>
      </c>
      <c r="X17">
        <v>-329.44667718295688</v>
      </c>
      <c r="Y17">
        <v>-394.42534710862475</v>
      </c>
      <c r="Z17">
        <v>-372.27110213633642</v>
      </c>
      <c r="AA17">
        <v>-351.6009221552452</v>
      </c>
      <c r="AB17">
        <v>-30.801668805675877</v>
      </c>
      <c r="AG17">
        <v>0.27500000000000002</v>
      </c>
      <c r="AH17">
        <f t="shared" si="0"/>
        <v>275</v>
      </c>
      <c r="AI17">
        <v>-150.11799999999999</v>
      </c>
      <c r="AJ17">
        <v>-146.381</v>
      </c>
      <c r="AN17">
        <v>0.27500000000000002</v>
      </c>
      <c r="AO17">
        <f t="shared" si="1"/>
        <v>275</v>
      </c>
      <c r="AP17">
        <v>-152.01400000000001</v>
      </c>
      <c r="AQ17">
        <v>-224.34200000000001</v>
      </c>
    </row>
    <row r="18" spans="1:43" x14ac:dyDescent="0.25">
      <c r="A18">
        <v>88</v>
      </c>
      <c r="B18">
        <v>-260.88996951360838</v>
      </c>
      <c r="C18">
        <v>-293.43789018858268</v>
      </c>
      <c r="D18">
        <v>-292.946151764587</v>
      </c>
      <c r="E18">
        <v>-261.38170793760406</v>
      </c>
      <c r="F18">
        <v>-3.970296782284028</v>
      </c>
      <c r="H18">
        <v>88</v>
      </c>
      <c r="I18">
        <v>-241.33727816390419</v>
      </c>
      <c r="J18">
        <v>-290.61974445134933</v>
      </c>
      <c r="K18">
        <v>-289.75353977843554</v>
      </c>
      <c r="L18">
        <v>-242.20348283681798</v>
      </c>
      <c r="M18">
        <v>6.4759857979711288</v>
      </c>
      <c r="P18">
        <v>88</v>
      </c>
      <c r="Q18">
        <v>-299.26754888802049</v>
      </c>
      <c r="R18">
        <v>-425.82555051362948</v>
      </c>
      <c r="S18">
        <v>-388.80748031454812</v>
      </c>
      <c r="T18">
        <v>-336.28561908710185</v>
      </c>
      <c r="U18">
        <v>-57.572523543511004</v>
      </c>
      <c r="W18">
        <v>88</v>
      </c>
      <c r="X18">
        <v>-330.25118972122243</v>
      </c>
      <c r="Y18">
        <v>-387.17343847328334</v>
      </c>
      <c r="Z18">
        <v>-364.40842118933699</v>
      </c>
      <c r="AA18">
        <v>-353.01620700516878</v>
      </c>
      <c r="AB18">
        <v>-27.885300155160341</v>
      </c>
      <c r="AG18">
        <v>0.32500000000000001</v>
      </c>
      <c r="AH18">
        <f t="shared" si="0"/>
        <v>325</v>
      </c>
      <c r="AI18">
        <v>-138.77600000000001</v>
      </c>
      <c r="AJ18">
        <v>-130.899</v>
      </c>
      <c r="AN18">
        <v>0.32500000000000001</v>
      </c>
      <c r="AO18">
        <f t="shared" si="1"/>
        <v>325</v>
      </c>
      <c r="AP18">
        <v>-153.78</v>
      </c>
      <c r="AQ18">
        <v>-223.935</v>
      </c>
    </row>
    <row r="19" spans="1:43" x14ac:dyDescent="0.25">
      <c r="A19">
        <v>112</v>
      </c>
      <c r="B19">
        <v>-253.15217774850575</v>
      </c>
      <c r="C19">
        <v>-287.17035741321303</v>
      </c>
      <c r="D19">
        <v>-286.02285221703158</v>
      </c>
      <c r="E19">
        <v>-254.29968294468719</v>
      </c>
      <c r="F19">
        <v>-6.1416015626725446</v>
      </c>
      <c r="H19">
        <v>112</v>
      </c>
      <c r="I19">
        <v>-249.63451811287726</v>
      </c>
      <c r="J19">
        <v>-291.40442931037643</v>
      </c>
      <c r="K19">
        <v>-291.38043775493384</v>
      </c>
      <c r="L19">
        <v>-249.65850966831988</v>
      </c>
      <c r="M19">
        <v>-1.0007744728935355</v>
      </c>
      <c r="P19">
        <v>112</v>
      </c>
      <c r="Q19">
        <v>-294.79069580735489</v>
      </c>
      <c r="R19">
        <v>-414.88703508739474</v>
      </c>
      <c r="S19">
        <v>-381.07671682773167</v>
      </c>
      <c r="T19">
        <v>-328.60101406701796</v>
      </c>
      <c r="U19">
        <v>-54.012571055809914</v>
      </c>
      <c r="W19">
        <v>112</v>
      </c>
      <c r="X19">
        <v>-321.44001906823598</v>
      </c>
      <c r="Y19">
        <v>-398.26977655055794</v>
      </c>
      <c r="Z19">
        <v>-373.75898064743353</v>
      </c>
      <c r="AA19">
        <v>-345.95081497136039</v>
      </c>
      <c r="AB19">
        <v>-35.810325174886607</v>
      </c>
      <c r="AG19">
        <v>0.375</v>
      </c>
      <c r="AH19">
        <f t="shared" si="0"/>
        <v>375</v>
      </c>
      <c r="AI19">
        <v>-128.30600000000001</v>
      </c>
      <c r="AJ19">
        <v>-118.22199999999999</v>
      </c>
      <c r="AN19">
        <v>0.375</v>
      </c>
      <c r="AO19">
        <f t="shared" si="1"/>
        <v>375</v>
      </c>
      <c r="AP19">
        <v>-203.72399999999999</v>
      </c>
      <c r="AQ19">
        <v>-229.85300000000001</v>
      </c>
    </row>
    <row r="20" spans="1:43" x14ac:dyDescent="0.25">
      <c r="A20">
        <v>144</v>
      </c>
      <c r="B20">
        <v>-245.47206882686169</v>
      </c>
      <c r="C20">
        <v>-270.88270529804015</v>
      </c>
      <c r="D20">
        <v>-270.11480730717795</v>
      </c>
      <c r="E20">
        <v>-246.23996681772391</v>
      </c>
      <c r="F20">
        <v>-4.3500700417784373</v>
      </c>
      <c r="H20">
        <v>144</v>
      </c>
      <c r="I20">
        <v>-241.54575580352059</v>
      </c>
      <c r="J20">
        <v>-270.39953956690096</v>
      </c>
      <c r="K20">
        <v>-270.25334379560286</v>
      </c>
      <c r="L20">
        <v>-241.69195157481869</v>
      </c>
      <c r="M20">
        <v>-2.0486405171746478</v>
      </c>
      <c r="P20">
        <v>144</v>
      </c>
      <c r="Q20">
        <v>-281.96205028884873</v>
      </c>
      <c r="R20">
        <v>-390.53782632993688</v>
      </c>
      <c r="S20">
        <v>-351.97560651975596</v>
      </c>
      <c r="T20">
        <v>-320.52427009902965</v>
      </c>
      <c r="U20">
        <v>-51.960351664213242</v>
      </c>
      <c r="W20">
        <v>144</v>
      </c>
      <c r="X20">
        <v>-305.70855282775324</v>
      </c>
      <c r="Y20">
        <v>-371.14079354448097</v>
      </c>
      <c r="Z20">
        <v>-355.55926327957707</v>
      </c>
      <c r="AA20">
        <v>-321.29008309265714</v>
      </c>
      <c r="AB20">
        <v>-27.870241363003196</v>
      </c>
      <c r="AG20">
        <v>0.42499999999999999</v>
      </c>
      <c r="AH20">
        <f t="shared" si="0"/>
        <v>425</v>
      </c>
      <c r="AI20">
        <v>-118.021</v>
      </c>
      <c r="AJ20">
        <v>-107.093</v>
      </c>
      <c r="AN20">
        <v>0.42499999999999999</v>
      </c>
      <c r="AO20">
        <f t="shared" si="1"/>
        <v>425</v>
      </c>
      <c r="AP20">
        <v>-243.12100000000001</v>
      </c>
      <c r="AQ20">
        <v>-233.06700000000001</v>
      </c>
    </row>
    <row r="21" spans="1:43" x14ac:dyDescent="0.25">
      <c r="A21">
        <v>176</v>
      </c>
      <c r="B21">
        <v>-245.35509218444301</v>
      </c>
      <c r="C21">
        <v>-263.15184425233355</v>
      </c>
      <c r="D21">
        <v>-261.52695824893766</v>
      </c>
      <c r="E21">
        <v>-246.97997818783895</v>
      </c>
      <c r="F21">
        <v>-5.1261524379392842</v>
      </c>
      <c r="H21">
        <v>176</v>
      </c>
      <c r="I21">
        <v>-237.90307526785978</v>
      </c>
      <c r="J21">
        <v>-252.62530414646454</v>
      </c>
      <c r="K21">
        <v>-252.58866899256785</v>
      </c>
      <c r="L21">
        <v>-237.93971042175647</v>
      </c>
      <c r="M21">
        <v>-0.73349095847794565</v>
      </c>
      <c r="P21">
        <v>176</v>
      </c>
      <c r="Q21">
        <v>-275.25742279356029</v>
      </c>
      <c r="R21">
        <v>-369.50115639499336</v>
      </c>
      <c r="S21">
        <v>-333.01086820867192</v>
      </c>
      <c r="T21">
        <v>-311.74771097988173</v>
      </c>
      <c r="U21">
        <v>-45.906860783007225</v>
      </c>
      <c r="W21">
        <v>176</v>
      </c>
      <c r="X21">
        <v>-294.47092019500701</v>
      </c>
      <c r="Y21">
        <v>-357.33724271179665</v>
      </c>
      <c r="Z21">
        <v>-342.72126106516947</v>
      </c>
      <c r="AA21">
        <v>-309.08690184163419</v>
      </c>
      <c r="AB21">
        <v>-26.556093398724876</v>
      </c>
      <c r="AG21">
        <v>0.47499999999999998</v>
      </c>
      <c r="AH21">
        <f t="shared" si="0"/>
        <v>475</v>
      </c>
      <c r="AI21">
        <v>-107.045</v>
      </c>
      <c r="AJ21">
        <v>-95.007000000000005</v>
      </c>
      <c r="AN21">
        <v>0.47499999999999998</v>
      </c>
      <c r="AO21">
        <f t="shared" si="1"/>
        <v>475</v>
      </c>
      <c r="AP21">
        <v>-241.756</v>
      </c>
      <c r="AQ21">
        <v>-229.148</v>
      </c>
    </row>
    <row r="22" spans="1:43" x14ac:dyDescent="0.25">
      <c r="A22">
        <v>208</v>
      </c>
      <c r="B22">
        <v>-240.11885296538838</v>
      </c>
      <c r="C22">
        <v>-257.55185374985996</v>
      </c>
      <c r="D22">
        <v>-251.96132781748824</v>
      </c>
      <c r="E22">
        <v>-245.7093788977601</v>
      </c>
      <c r="F22">
        <v>-8.1366862274592133</v>
      </c>
      <c r="H22">
        <v>208</v>
      </c>
      <c r="I22">
        <v>-231.36822451727627</v>
      </c>
      <c r="J22">
        <v>-240.35781359388668</v>
      </c>
      <c r="K22">
        <v>-240.30824804091614</v>
      </c>
      <c r="L22">
        <v>-231.41779007024681</v>
      </c>
      <c r="M22">
        <v>-0.66567049620584839</v>
      </c>
      <c r="P22">
        <v>208</v>
      </c>
      <c r="Q22">
        <v>-269.98086734594335</v>
      </c>
      <c r="R22">
        <v>-344.92323045417072</v>
      </c>
      <c r="S22">
        <v>-321.85612489025704</v>
      </c>
      <c r="T22">
        <v>-293.04797290985704</v>
      </c>
      <c r="U22">
        <v>-34.592080624470917</v>
      </c>
      <c r="W22">
        <v>208</v>
      </c>
      <c r="X22">
        <v>-285.22597946618322</v>
      </c>
      <c r="Y22">
        <v>-353.46138422444091</v>
      </c>
      <c r="Z22">
        <v>-332.13295148552083</v>
      </c>
      <c r="AA22">
        <v>-306.55441220510329</v>
      </c>
      <c r="AB22">
        <v>-31.62992566701427</v>
      </c>
      <c r="AG22">
        <v>0.52500000000000002</v>
      </c>
      <c r="AH22">
        <f t="shared" si="0"/>
        <v>525</v>
      </c>
      <c r="AI22">
        <v>-96.843000000000004</v>
      </c>
      <c r="AJ22">
        <v>-86.012</v>
      </c>
      <c r="AN22">
        <v>0.52500000000000002</v>
      </c>
      <c r="AO22">
        <f t="shared" si="1"/>
        <v>525</v>
      </c>
      <c r="AP22">
        <v>-217.39699999999999</v>
      </c>
      <c r="AQ22">
        <v>-219.071</v>
      </c>
    </row>
    <row r="23" spans="1:43" x14ac:dyDescent="0.25">
      <c r="A23">
        <v>240</v>
      </c>
      <c r="B23">
        <v>-235.73493476562078</v>
      </c>
      <c r="C23">
        <v>-246.54271738762952</v>
      </c>
      <c r="D23">
        <v>-242.84499315844656</v>
      </c>
      <c r="E23">
        <v>-239.43265899480375</v>
      </c>
      <c r="F23">
        <v>-5.1274784436463126</v>
      </c>
      <c r="H23">
        <v>240</v>
      </c>
      <c r="I23">
        <v>-224.78520943992393</v>
      </c>
      <c r="J23">
        <v>-231.60006365211896</v>
      </c>
      <c r="K23">
        <v>-231.15374146035305</v>
      </c>
      <c r="L23">
        <v>-225.23153163168985</v>
      </c>
      <c r="M23">
        <v>-1.6859469652658945</v>
      </c>
      <c r="P23">
        <v>240</v>
      </c>
      <c r="Q23">
        <v>-264.79007123682004</v>
      </c>
      <c r="R23">
        <v>-331.90236607597751</v>
      </c>
      <c r="S23">
        <v>-314.94952113151118</v>
      </c>
      <c r="T23">
        <v>-281.74291618128638</v>
      </c>
      <c r="U23">
        <v>-29.160682031880327</v>
      </c>
      <c r="W23">
        <v>240</v>
      </c>
      <c r="X23">
        <v>-283.58226450110692</v>
      </c>
      <c r="Y23">
        <v>-343.36048765096268</v>
      </c>
      <c r="Z23">
        <v>-321.44500318332462</v>
      </c>
      <c r="AA23">
        <v>-305.49774896874499</v>
      </c>
      <c r="AB23">
        <v>-28.805906711859997</v>
      </c>
      <c r="AG23">
        <v>0.57499999999999996</v>
      </c>
      <c r="AH23">
        <f t="shared" si="0"/>
        <v>575</v>
      </c>
      <c r="AI23">
        <v>-87.372</v>
      </c>
      <c r="AJ23">
        <v>-82.328000000000003</v>
      </c>
      <c r="AN23">
        <v>0.57499999999999996</v>
      </c>
      <c r="AO23">
        <f t="shared" si="1"/>
        <v>575</v>
      </c>
      <c r="AP23">
        <v>-197.072</v>
      </c>
      <c r="AQ23">
        <v>-206.91</v>
      </c>
    </row>
    <row r="24" spans="1:43" x14ac:dyDescent="0.25">
      <c r="A24">
        <v>288</v>
      </c>
      <c r="B24">
        <v>-224.8474454826956</v>
      </c>
      <c r="C24">
        <v>-229.48593008263134</v>
      </c>
      <c r="D24">
        <v>-227.05946903175644</v>
      </c>
      <c r="E24">
        <v>-227.27390653357051</v>
      </c>
      <c r="F24">
        <v>-2.3167626087741833</v>
      </c>
      <c r="H24">
        <v>288</v>
      </c>
      <c r="I24">
        <v>-209.74325630054975</v>
      </c>
      <c r="J24">
        <v>-221.05651041759896</v>
      </c>
      <c r="K24">
        <v>-215.65322568821546</v>
      </c>
      <c r="L24">
        <v>-215.14654102993325</v>
      </c>
      <c r="M24">
        <v>-5.6509510123074005</v>
      </c>
      <c r="P24">
        <v>288</v>
      </c>
      <c r="Q24">
        <v>-243.46109986916403</v>
      </c>
      <c r="R24">
        <v>-311.71948935315265</v>
      </c>
      <c r="S24">
        <v>-290.58819170413852</v>
      </c>
      <c r="T24">
        <v>-264.59239751817819</v>
      </c>
      <c r="U24">
        <v>-31.557195770493788</v>
      </c>
      <c r="W24">
        <v>288</v>
      </c>
      <c r="X24">
        <v>-268.51056426587826</v>
      </c>
      <c r="Y24">
        <v>-325.35351293995126</v>
      </c>
      <c r="Z24">
        <v>-305.1465447992166</v>
      </c>
      <c r="AA24">
        <v>-288.71753240661292</v>
      </c>
      <c r="AB24">
        <v>-27.208493002034189</v>
      </c>
      <c r="AG24">
        <v>0.625</v>
      </c>
      <c r="AH24">
        <f t="shared" si="0"/>
        <v>625</v>
      </c>
      <c r="AI24">
        <v>-76.751999999999995</v>
      </c>
      <c r="AJ24">
        <v>-77.923000000000002</v>
      </c>
      <c r="AN24">
        <v>0.625</v>
      </c>
      <c r="AO24">
        <f t="shared" si="1"/>
        <v>625</v>
      </c>
      <c r="AP24">
        <v>-190.11699999999999</v>
      </c>
      <c r="AQ24">
        <v>-196.69900000000001</v>
      </c>
    </row>
    <row r="25" spans="1:43" x14ac:dyDescent="0.25">
      <c r="A25">
        <v>352</v>
      </c>
      <c r="B25">
        <v>-209.37476116900697</v>
      </c>
      <c r="C25">
        <v>-221.75900907678559</v>
      </c>
      <c r="D25">
        <v>-213.43858851760507</v>
      </c>
      <c r="E25">
        <v>-217.69518172818749</v>
      </c>
      <c r="F25">
        <v>-5.8148733967504187</v>
      </c>
      <c r="H25">
        <v>352</v>
      </c>
      <c r="I25">
        <v>-195.67748415871961</v>
      </c>
      <c r="J25">
        <v>-206.05673226083906</v>
      </c>
      <c r="K25">
        <v>-197.48244939618047</v>
      </c>
      <c r="L25">
        <v>-204.25176702337819</v>
      </c>
      <c r="M25">
        <v>-3.9339906592244449</v>
      </c>
      <c r="P25">
        <v>352</v>
      </c>
      <c r="Q25">
        <v>-223.01368056716183</v>
      </c>
      <c r="R25">
        <v>-275.90118240120961</v>
      </c>
      <c r="S25">
        <v>-256.40594950652923</v>
      </c>
      <c r="T25">
        <v>-242.50891346184224</v>
      </c>
      <c r="U25">
        <v>-25.514506851098847</v>
      </c>
      <c r="W25">
        <v>352</v>
      </c>
      <c r="X25">
        <v>-239.81980916750229</v>
      </c>
      <c r="Y25">
        <v>-296.31986305596456</v>
      </c>
      <c r="Z25">
        <v>-275.13837724010955</v>
      </c>
      <c r="AA25">
        <v>-261.0012949833573</v>
      </c>
      <c r="AB25">
        <v>-27.351412187787314</v>
      </c>
      <c r="AG25">
        <v>0.67500000000000004</v>
      </c>
      <c r="AH25">
        <f t="shared" si="0"/>
        <v>675</v>
      </c>
      <c r="AI25">
        <v>-64.765000000000001</v>
      </c>
      <c r="AJ25">
        <v>-67.759</v>
      </c>
      <c r="AN25">
        <v>0.67500000000000004</v>
      </c>
      <c r="AO25">
        <f t="shared" si="1"/>
        <v>675</v>
      </c>
      <c r="AP25">
        <v>-189.49</v>
      </c>
      <c r="AQ25">
        <v>-188.45599999999999</v>
      </c>
    </row>
    <row r="26" spans="1:43" x14ac:dyDescent="0.25">
      <c r="A26">
        <v>448</v>
      </c>
      <c r="B26">
        <v>-181.06681641944527</v>
      </c>
      <c r="C26">
        <v>-198.97463345832023</v>
      </c>
      <c r="D26">
        <v>-182.7864946437216</v>
      </c>
      <c r="E26">
        <v>-197.2549552340439</v>
      </c>
      <c r="F26">
        <v>-5.2762097959641103</v>
      </c>
      <c r="H26">
        <v>448</v>
      </c>
      <c r="I26">
        <v>-171.30841328442739</v>
      </c>
      <c r="J26">
        <v>-177.23355509834505</v>
      </c>
      <c r="K26">
        <v>-171.39439632849582</v>
      </c>
      <c r="L26">
        <v>-177.14757205427662</v>
      </c>
      <c r="M26">
        <v>-0.7085680248434858</v>
      </c>
      <c r="P26">
        <v>448</v>
      </c>
      <c r="Q26">
        <v>-193.3202387151359</v>
      </c>
      <c r="R26">
        <v>-229.2252390078319</v>
      </c>
      <c r="S26">
        <v>-213.46314470119884</v>
      </c>
      <c r="T26">
        <v>-209.08233302176896</v>
      </c>
      <c r="U26">
        <v>-17.818372085069036</v>
      </c>
      <c r="W26">
        <v>448</v>
      </c>
      <c r="X26">
        <v>-209.75213706482026</v>
      </c>
      <c r="Y26">
        <v>-248.43451429895856</v>
      </c>
      <c r="Z26">
        <v>-230.9903083941135</v>
      </c>
      <c r="AA26">
        <v>-227.19634296966532</v>
      </c>
      <c r="AB26">
        <v>-19.247935829864165</v>
      </c>
      <c r="AG26">
        <v>0.72499999999999998</v>
      </c>
      <c r="AH26">
        <f t="shared" si="0"/>
        <v>725</v>
      </c>
      <c r="AI26">
        <v>-53.203000000000003</v>
      </c>
      <c r="AJ26">
        <v>-55.497</v>
      </c>
      <c r="AN26">
        <v>0.72499999999999998</v>
      </c>
      <c r="AO26">
        <f t="shared" si="1"/>
        <v>725</v>
      </c>
      <c r="AP26">
        <v>-184.45099999999999</v>
      </c>
      <c r="AQ26">
        <v>-178.197</v>
      </c>
    </row>
    <row r="27" spans="1:43" x14ac:dyDescent="0.25">
      <c r="A27">
        <v>512</v>
      </c>
      <c r="B27">
        <v>-151.11619202958047</v>
      </c>
      <c r="C27">
        <v>-171.17977507958483</v>
      </c>
      <c r="D27">
        <v>-153.14565147248558</v>
      </c>
      <c r="E27">
        <v>-169.15031563667972</v>
      </c>
      <c r="F27">
        <v>-6.0497539163957521</v>
      </c>
      <c r="H27">
        <v>512</v>
      </c>
      <c r="I27">
        <v>-142.5356673140621</v>
      </c>
      <c r="J27">
        <v>-147.77699462120125</v>
      </c>
      <c r="K27">
        <v>-142.60667032475175</v>
      </c>
      <c r="L27">
        <v>-147.7059916105116</v>
      </c>
      <c r="M27">
        <v>-0.60589486818239568</v>
      </c>
      <c r="P27">
        <v>512</v>
      </c>
      <c r="Q27">
        <v>-162.21178948858795</v>
      </c>
      <c r="R27">
        <v>-185.33194385538462</v>
      </c>
      <c r="S27">
        <v>-172.49742516715406</v>
      </c>
      <c r="T27">
        <v>-175.04630817681851</v>
      </c>
      <c r="U27">
        <v>-11.489611975035873</v>
      </c>
      <c r="W27">
        <v>512</v>
      </c>
      <c r="X27">
        <v>-179.32907107676658</v>
      </c>
      <c r="Y27">
        <v>-210.07955503864434</v>
      </c>
      <c r="Z27">
        <v>-194.43049955633711</v>
      </c>
      <c r="AA27">
        <v>-194.97812655907381</v>
      </c>
      <c r="AB27">
        <v>-15.372803652518751</v>
      </c>
      <c r="AG27">
        <v>0.77500000000000002</v>
      </c>
      <c r="AH27">
        <f t="shared" si="0"/>
        <v>775</v>
      </c>
      <c r="AI27">
        <v>-44.142000000000003</v>
      </c>
      <c r="AJ27">
        <v>-46.984999999999999</v>
      </c>
      <c r="AN27">
        <v>0.77500000000000002</v>
      </c>
      <c r="AO27">
        <f t="shared" si="1"/>
        <v>775</v>
      </c>
      <c r="AP27">
        <v>-172.40700000000001</v>
      </c>
      <c r="AQ27">
        <v>-163.26</v>
      </c>
    </row>
    <row r="28" spans="1:43" x14ac:dyDescent="0.25">
      <c r="A28">
        <v>576</v>
      </c>
      <c r="B28">
        <v>-136.13993910372997</v>
      </c>
      <c r="C28">
        <v>-157.28328662113526</v>
      </c>
      <c r="D28">
        <v>-138.32522988686759</v>
      </c>
      <c r="E28">
        <v>-155.09799583799764</v>
      </c>
      <c r="F28">
        <v>-6.4365259766115734</v>
      </c>
      <c r="H28">
        <v>576</v>
      </c>
      <c r="I28">
        <v>-128.14921432872282</v>
      </c>
      <c r="J28">
        <v>-133.04879438278599</v>
      </c>
      <c r="K28">
        <v>-128.21280732287971</v>
      </c>
      <c r="L28">
        <v>-132.98520138862909</v>
      </c>
      <c r="M28">
        <v>-0.55455828985185063</v>
      </c>
      <c r="P28">
        <v>576</v>
      </c>
      <c r="Q28">
        <v>-146.1698361041835</v>
      </c>
      <c r="R28">
        <v>-163.87302505029146</v>
      </c>
      <c r="S28">
        <v>-152.01456540013166</v>
      </c>
      <c r="T28">
        <v>-158.0282957543433</v>
      </c>
      <c r="U28">
        <v>-8.3252319200192915</v>
      </c>
      <c r="W28">
        <v>576</v>
      </c>
      <c r="X28">
        <v>-164.00599007799138</v>
      </c>
      <c r="Y28">
        <v>-191.01362341323562</v>
      </c>
      <c r="Z28">
        <v>-176.1505951374489</v>
      </c>
      <c r="AA28">
        <v>-178.8690183537781</v>
      </c>
      <c r="AB28">
        <v>-13.435237563846044</v>
      </c>
      <c r="AG28">
        <v>0.82499999999999996</v>
      </c>
      <c r="AH28">
        <f t="shared" si="0"/>
        <v>825</v>
      </c>
      <c r="AI28">
        <v>-38.945999999999998</v>
      </c>
      <c r="AJ28">
        <v>-42.978999999999999</v>
      </c>
      <c r="AN28">
        <v>0.82499999999999996</v>
      </c>
      <c r="AO28">
        <f t="shared" si="1"/>
        <v>825</v>
      </c>
      <c r="AP28">
        <v>-159.108</v>
      </c>
      <c r="AQ28">
        <v>-145.82400000000001</v>
      </c>
    </row>
    <row r="29" spans="1:43" x14ac:dyDescent="0.25">
      <c r="A29">
        <v>640</v>
      </c>
      <c r="B29">
        <v>-121.16318086958535</v>
      </c>
      <c r="C29">
        <v>-143.38730347097982</v>
      </c>
      <c r="D29">
        <v>-123.50480830124962</v>
      </c>
      <c r="E29">
        <v>-141.04567603931554</v>
      </c>
      <c r="F29">
        <v>-6.8232980368273939</v>
      </c>
      <c r="H29">
        <v>640</v>
      </c>
      <c r="I29">
        <v>-113.76269201331901</v>
      </c>
      <c r="J29">
        <v>-118.32066347443522</v>
      </c>
      <c r="K29">
        <v>-113.81894432100765</v>
      </c>
      <c r="L29">
        <v>-118.26441116674658</v>
      </c>
      <c r="M29">
        <v>-0.50322171152130546</v>
      </c>
      <c r="P29">
        <v>640</v>
      </c>
      <c r="Q29">
        <v>-129.26419415920606</v>
      </c>
      <c r="R29">
        <v>-143.27779480577135</v>
      </c>
      <c r="S29">
        <v>-131.53170563310928</v>
      </c>
      <c r="T29">
        <v>-141.01028333186812</v>
      </c>
      <c r="U29">
        <v>-5.1608518650027095</v>
      </c>
      <c r="W29">
        <v>640</v>
      </c>
      <c r="X29">
        <v>-148.56061770664644</v>
      </c>
      <c r="Y29">
        <v>-172.06998316039659</v>
      </c>
      <c r="Z29">
        <v>-157.8706907185607</v>
      </c>
      <c r="AA29">
        <v>-162.75991014848233</v>
      </c>
      <c r="AB29">
        <v>-11.497671475173339</v>
      </c>
      <c r="AG29">
        <v>0.875</v>
      </c>
      <c r="AH29">
        <f t="shared" si="0"/>
        <v>875</v>
      </c>
      <c r="AI29">
        <v>-36.954000000000001</v>
      </c>
      <c r="AJ29">
        <v>-41.703000000000003</v>
      </c>
      <c r="AN29">
        <v>0.875</v>
      </c>
      <c r="AO29">
        <f t="shared" si="1"/>
        <v>875</v>
      </c>
      <c r="AP29">
        <v>-148.345</v>
      </c>
      <c r="AQ29">
        <v>-130.322</v>
      </c>
    </row>
    <row r="30" spans="1:43" x14ac:dyDescent="0.25">
      <c r="A30">
        <v>768</v>
      </c>
      <c r="B30">
        <v>-95.089821670627771</v>
      </c>
      <c r="C30">
        <v>-111.68476956155695</v>
      </c>
      <c r="D30">
        <v>-95.273401481208253</v>
      </c>
      <c r="E30">
        <v>-111.50118975097647</v>
      </c>
      <c r="F30">
        <v>-1.7357407189892105</v>
      </c>
      <c r="H30">
        <v>768</v>
      </c>
      <c r="I30">
        <v>-83.360938638456446</v>
      </c>
      <c r="J30">
        <v>-88.394561109613278</v>
      </c>
      <c r="K30">
        <v>-83.563891310157388</v>
      </c>
      <c r="L30">
        <v>-88.191608437912336</v>
      </c>
      <c r="M30">
        <v>0.99015016129100508</v>
      </c>
      <c r="P30">
        <v>768</v>
      </c>
      <c r="Q30">
        <v>-99.961783393848918</v>
      </c>
      <c r="R30">
        <v>-108.44251550528173</v>
      </c>
      <c r="S30">
        <v>-100.18731458118241</v>
      </c>
      <c r="T30">
        <v>-108.21698431794825</v>
      </c>
      <c r="U30">
        <v>1.364479851844167</v>
      </c>
      <c r="W30">
        <v>768</v>
      </c>
      <c r="X30">
        <v>-116.7178714914306</v>
      </c>
      <c r="Y30">
        <v>-128.9591611191214</v>
      </c>
      <c r="Z30">
        <v>-121.18201494941702</v>
      </c>
      <c r="AA30">
        <v>-124.49501766113498</v>
      </c>
      <c r="AB30">
        <v>-5.8922233660384968</v>
      </c>
      <c r="AG30">
        <v>0.92500000000000004</v>
      </c>
      <c r="AH30">
        <f t="shared" si="0"/>
        <v>925</v>
      </c>
      <c r="AI30">
        <v>-35.945</v>
      </c>
      <c r="AJ30">
        <v>-42.228999999999999</v>
      </c>
      <c r="AN30">
        <v>0.92500000000000004</v>
      </c>
      <c r="AO30">
        <f t="shared" si="1"/>
        <v>925</v>
      </c>
      <c r="AP30">
        <v>-138.44200000000001</v>
      </c>
      <c r="AQ30">
        <v>-118.706</v>
      </c>
    </row>
    <row r="31" spans="1:43" x14ac:dyDescent="0.25">
      <c r="A31">
        <v>896</v>
      </c>
      <c r="B31">
        <v>-81.11587891525582</v>
      </c>
      <c r="C31">
        <v>-96.770765762738677</v>
      </c>
      <c r="D31">
        <v>-81.157698071187582</v>
      </c>
      <c r="E31">
        <v>-96.728946606806915</v>
      </c>
      <c r="F31">
        <v>0.80803793992988127</v>
      </c>
      <c r="H31">
        <v>896</v>
      </c>
      <c r="I31">
        <v>-67.866030365754426</v>
      </c>
      <c r="J31">
        <v>-73.725541512473029</v>
      </c>
      <c r="K31">
        <v>-68.43636480473225</v>
      </c>
      <c r="L31">
        <v>-73.155207073495205</v>
      </c>
      <c r="M31">
        <v>1.7368360976971604</v>
      </c>
      <c r="P31">
        <v>896</v>
      </c>
      <c r="Q31">
        <v>-82.272642393113301</v>
      </c>
      <c r="R31">
        <v>-94.062811473093973</v>
      </c>
      <c r="S31">
        <v>-84.515119055218975</v>
      </c>
      <c r="T31">
        <v>-91.8203348109883</v>
      </c>
      <c r="U31">
        <v>4.6271457102676052</v>
      </c>
      <c r="W31">
        <v>896</v>
      </c>
      <c r="X31">
        <v>-100.76264332457134</v>
      </c>
      <c r="Y31">
        <v>-107.43760515773516</v>
      </c>
      <c r="Z31">
        <v>-102.8376770648452</v>
      </c>
      <c r="AA31">
        <v>-105.36257141746131</v>
      </c>
      <c r="AB31">
        <v>-3.0894993114710751</v>
      </c>
      <c r="AG31">
        <v>0.97499999999999998</v>
      </c>
      <c r="AH31">
        <f t="shared" si="0"/>
        <v>975</v>
      </c>
      <c r="AI31">
        <v>-34.908999999999999</v>
      </c>
      <c r="AJ31">
        <v>-43.457000000000001</v>
      </c>
      <c r="AN31">
        <v>0.97499999999999998</v>
      </c>
      <c r="AO31">
        <f t="shared" si="1"/>
        <v>975</v>
      </c>
      <c r="AP31">
        <v>-128.197</v>
      </c>
      <c r="AQ31">
        <v>-109.20099999999999</v>
      </c>
    </row>
    <row r="32" spans="1:43" x14ac:dyDescent="0.25">
      <c r="A32">
        <v>1024</v>
      </c>
      <c r="B32">
        <v>-66.323359264300578</v>
      </c>
      <c r="C32">
        <v>-82.675338859503697</v>
      </c>
      <c r="D32">
        <v>-67.041994661166896</v>
      </c>
      <c r="E32">
        <v>-81.956703462637378</v>
      </c>
      <c r="F32">
        <v>3.351816598848973</v>
      </c>
      <c r="H32">
        <v>1024</v>
      </c>
      <c r="I32">
        <v>-52.256680364826138</v>
      </c>
      <c r="J32">
        <v>-59.170963643559048</v>
      </c>
      <c r="K32">
        <v>-53.308838299307105</v>
      </c>
      <c r="L32">
        <v>-58.118805709078082</v>
      </c>
      <c r="M32">
        <v>2.4835220341033155</v>
      </c>
      <c r="P32">
        <v>1024</v>
      </c>
      <c r="Q32">
        <v>-63.584869883142339</v>
      </c>
      <c r="R32">
        <v>-80.681738950141579</v>
      </c>
      <c r="S32">
        <v>-68.842923529255543</v>
      </c>
      <c r="T32">
        <v>-75.423685304028382</v>
      </c>
      <c r="U32">
        <v>7.8898115686910435</v>
      </c>
      <c r="W32">
        <v>1024</v>
      </c>
      <c r="X32">
        <v>-84.447212387857519</v>
      </c>
      <c r="Y32">
        <v>-86.276251966203461</v>
      </c>
      <c r="Z32">
        <v>-84.493339180273367</v>
      </c>
      <c r="AA32">
        <v>-86.230125173787613</v>
      </c>
      <c r="AB32">
        <v>-0.28677525690365352</v>
      </c>
    </row>
  </sheetData>
  <mergeCells count="14">
    <mergeCell ref="X11:Y11"/>
    <mergeCell ref="Z11:AA11"/>
    <mergeCell ref="B11:C11"/>
    <mergeCell ref="D11:E11"/>
    <mergeCell ref="I11:J11"/>
    <mergeCell ref="K11:L11"/>
    <mergeCell ref="Q11:R11"/>
    <mergeCell ref="S11:T11"/>
    <mergeCell ref="A1:M1"/>
    <mergeCell ref="P1:AB1"/>
    <mergeCell ref="B9:F9"/>
    <mergeCell ref="I9:M9"/>
    <mergeCell ref="Q9:U9"/>
    <mergeCell ref="X9:AB9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workbookViewId="0">
      <selection activeCell="C7" sqref="C7"/>
    </sheetView>
  </sheetViews>
  <sheetFormatPr defaultRowHeight="15" x14ac:dyDescent="0.25"/>
  <cols>
    <col min="2" max="2" width="12.7109375" bestFit="1" customWidth="1"/>
    <col min="3" max="3" width="19.85546875" bestFit="1" customWidth="1"/>
    <col min="4" max="4" width="12.85546875" bestFit="1" customWidth="1"/>
    <col min="5" max="5" width="11.7109375" bestFit="1" customWidth="1"/>
  </cols>
  <sheetData>
    <row r="1" spans="1:9" x14ac:dyDescent="0.25">
      <c r="C1" t="s">
        <v>16</v>
      </c>
      <c r="D1" t="s">
        <v>17</v>
      </c>
      <c r="E1" s="13" t="s">
        <v>18</v>
      </c>
      <c r="F1" s="13"/>
      <c r="G1" s="13"/>
    </row>
    <row r="2" spans="1:9" x14ac:dyDescent="0.25">
      <c r="D2" t="s">
        <v>19</v>
      </c>
      <c r="E2" t="s">
        <v>20</v>
      </c>
    </row>
    <row r="3" spans="1:9" x14ac:dyDescent="0.25">
      <c r="D3" t="s">
        <v>21</v>
      </c>
      <c r="E3" t="s">
        <v>22</v>
      </c>
    </row>
    <row r="4" spans="1:9" x14ac:dyDescent="0.25">
      <c r="D4" t="s">
        <v>23</v>
      </c>
      <c r="E4" t="s">
        <v>24</v>
      </c>
    </row>
    <row r="5" spans="1:9" x14ac:dyDescent="0.25">
      <c r="D5" t="s">
        <v>25</v>
      </c>
      <c r="E5">
        <v>139</v>
      </c>
    </row>
    <row r="6" spans="1:9" x14ac:dyDescent="0.25">
      <c r="C6" t="s">
        <v>26</v>
      </c>
      <c r="D6" t="s">
        <v>27</v>
      </c>
      <c r="E6" s="14">
        <v>1.9539999999999999E-5</v>
      </c>
    </row>
    <row r="7" spans="1:9" x14ac:dyDescent="0.25">
      <c r="D7" t="s">
        <v>28</v>
      </c>
      <c r="E7" s="14">
        <v>5.1100000000000002E-6</v>
      </c>
    </row>
    <row r="8" spans="1:9" x14ac:dyDescent="0.25">
      <c r="D8" t="s">
        <v>29</v>
      </c>
      <c r="E8">
        <v>10</v>
      </c>
    </row>
    <row r="9" spans="1:9" x14ac:dyDescent="0.25">
      <c r="D9" t="s">
        <v>30</v>
      </c>
      <c r="E9">
        <f>+-3</f>
        <v>-3</v>
      </c>
    </row>
    <row r="10" spans="1:9" x14ac:dyDescent="0.25">
      <c r="D10" t="s">
        <v>31</v>
      </c>
      <c r="E10">
        <v>1</v>
      </c>
    </row>
    <row r="11" spans="1:9" x14ac:dyDescent="0.25">
      <c r="D11" t="s">
        <v>32</v>
      </c>
      <c r="E11">
        <v>10</v>
      </c>
    </row>
    <row r="13" spans="1:9" x14ac:dyDescent="0.25">
      <c r="B13" t="s">
        <v>33</v>
      </c>
      <c r="C13" t="s">
        <v>34</v>
      </c>
      <c r="D13" t="s">
        <v>35</v>
      </c>
      <c r="E13" t="s">
        <v>36</v>
      </c>
      <c r="F13">
        <v>0</v>
      </c>
      <c r="G13">
        <v>45</v>
      </c>
      <c r="H13">
        <v>90</v>
      </c>
      <c r="I13" t="s">
        <v>37</v>
      </c>
    </row>
    <row r="14" spans="1:9" x14ac:dyDescent="0.25">
      <c r="A14" t="s">
        <v>38</v>
      </c>
      <c r="B14" t="s">
        <v>39</v>
      </c>
      <c r="C14" t="s">
        <v>40</v>
      </c>
      <c r="D14">
        <v>-47.47</v>
      </c>
      <c r="E14">
        <v>-60.15</v>
      </c>
      <c r="F14">
        <v>-62.94</v>
      </c>
      <c r="G14">
        <v>-54.39</v>
      </c>
      <c r="H14">
        <v>-40.659999999999997</v>
      </c>
    </row>
    <row r="15" spans="1:9" x14ac:dyDescent="0.25">
      <c r="C15" t="s">
        <v>41</v>
      </c>
      <c r="D15">
        <v>-293</v>
      </c>
      <c r="E15">
        <v>-347</v>
      </c>
      <c r="F15">
        <v>-312.74</v>
      </c>
      <c r="G15">
        <v>-341</v>
      </c>
      <c r="H15">
        <v>-328</v>
      </c>
      <c r="I15">
        <v>-13.1</v>
      </c>
    </row>
    <row r="16" spans="1:9" x14ac:dyDescent="0.25">
      <c r="C16" t="s">
        <v>42</v>
      </c>
      <c r="D16">
        <v>-315</v>
      </c>
      <c r="E16">
        <v>-375.39</v>
      </c>
      <c r="F16">
        <v>-315.70999999999998</v>
      </c>
      <c r="G16">
        <v>-365.43</v>
      </c>
      <c r="H16">
        <v>-364.95</v>
      </c>
      <c r="I16">
        <v>1</v>
      </c>
    </row>
    <row r="17" spans="1:8" x14ac:dyDescent="0.25">
      <c r="C17" t="s">
        <v>43</v>
      </c>
      <c r="D17">
        <v>-324</v>
      </c>
      <c r="E17">
        <v>-391.48</v>
      </c>
      <c r="F17">
        <v>-323.52</v>
      </c>
      <c r="G17">
        <v>-387.17</v>
      </c>
      <c r="H17">
        <v>-381.11</v>
      </c>
    </row>
    <row r="19" spans="1:8" x14ac:dyDescent="0.25">
      <c r="A19" t="s">
        <v>44</v>
      </c>
      <c r="B19" t="s">
        <v>45</v>
      </c>
      <c r="C19" t="s">
        <v>46</v>
      </c>
      <c r="D19">
        <v>-329</v>
      </c>
      <c r="E19">
        <v>-386</v>
      </c>
      <c r="F19">
        <v>-326.7</v>
      </c>
      <c r="G19">
        <v>-378</v>
      </c>
      <c r="H19">
        <v>-381</v>
      </c>
    </row>
    <row r="20" spans="1:8" x14ac:dyDescent="0.25">
      <c r="A20" t="s">
        <v>44</v>
      </c>
      <c r="B20" t="s">
        <v>47</v>
      </c>
      <c r="C20" t="s">
        <v>48</v>
      </c>
      <c r="D20">
        <v>-110</v>
      </c>
      <c r="E20">
        <v>-144</v>
      </c>
      <c r="F20">
        <v>-152.78</v>
      </c>
      <c r="G20">
        <v>-115.16</v>
      </c>
      <c r="H20">
        <v>-169</v>
      </c>
    </row>
    <row r="22" spans="1:8" x14ac:dyDescent="0.25">
      <c r="A22" t="s">
        <v>38</v>
      </c>
      <c r="B22" t="s">
        <v>49</v>
      </c>
      <c r="C22" t="s">
        <v>48</v>
      </c>
      <c r="F22">
        <v>-96.51</v>
      </c>
    </row>
    <row r="23" spans="1:8" x14ac:dyDescent="0.25">
      <c r="B23" t="s">
        <v>50</v>
      </c>
      <c r="C23" t="s">
        <v>48</v>
      </c>
      <c r="F23">
        <v>-97.56</v>
      </c>
    </row>
    <row r="24" spans="1:8" x14ac:dyDescent="0.25">
      <c r="B24" t="s">
        <v>51</v>
      </c>
      <c r="C24" t="s">
        <v>48</v>
      </c>
      <c r="F24">
        <v>-111.2</v>
      </c>
    </row>
    <row r="25" spans="1:8" x14ac:dyDescent="0.25">
      <c r="B25" t="s">
        <v>52</v>
      </c>
      <c r="C25" t="s">
        <v>48</v>
      </c>
      <c r="F25">
        <v>-126.85</v>
      </c>
    </row>
    <row r="26" spans="1:8" x14ac:dyDescent="0.25">
      <c r="B26" t="s">
        <v>53</v>
      </c>
      <c r="C26" t="s">
        <v>48</v>
      </c>
      <c r="F26">
        <v>-96.75</v>
      </c>
    </row>
    <row r="27" spans="1:8" x14ac:dyDescent="0.25">
      <c r="B27" t="s">
        <v>54</v>
      </c>
      <c r="C27" t="s">
        <v>48</v>
      </c>
      <c r="F27">
        <v>-97.35</v>
      </c>
    </row>
    <row r="28" spans="1:8" x14ac:dyDescent="0.25">
      <c r="B28" t="s">
        <v>54</v>
      </c>
      <c r="C28" t="s">
        <v>48</v>
      </c>
      <c r="F28">
        <v>-99.07</v>
      </c>
    </row>
    <row r="29" spans="1:8" x14ac:dyDescent="0.25">
      <c r="B29" t="s">
        <v>55</v>
      </c>
      <c r="C29" t="s">
        <v>48</v>
      </c>
      <c r="F29">
        <v>-107.39</v>
      </c>
    </row>
    <row r="30" spans="1:8" x14ac:dyDescent="0.25">
      <c r="B30" t="s">
        <v>56</v>
      </c>
      <c r="C30" t="s">
        <v>48</v>
      </c>
      <c r="F30">
        <v>-40.26</v>
      </c>
    </row>
    <row r="31" spans="1:8" x14ac:dyDescent="0.25">
      <c r="B31" t="s">
        <v>57</v>
      </c>
      <c r="C31" t="s">
        <v>48</v>
      </c>
      <c r="D31">
        <v>-48.96</v>
      </c>
      <c r="E31">
        <v>-89.87</v>
      </c>
      <c r="F31">
        <v>-86.3</v>
      </c>
      <c r="G31">
        <v>-50</v>
      </c>
      <c r="H31">
        <v>-51.33</v>
      </c>
    </row>
    <row r="32" spans="1:8" x14ac:dyDescent="0.25">
      <c r="A32" t="s">
        <v>58</v>
      </c>
      <c r="B32" t="s">
        <v>55</v>
      </c>
      <c r="C32" t="s">
        <v>48</v>
      </c>
      <c r="F32">
        <v>-118.11</v>
      </c>
    </row>
    <row r="37" spans="1:8" x14ac:dyDescent="0.25">
      <c r="B37" t="s">
        <v>49</v>
      </c>
      <c r="C37" t="s">
        <v>59</v>
      </c>
      <c r="F37">
        <v>-256</v>
      </c>
    </row>
    <row r="38" spans="1:8" x14ac:dyDescent="0.25">
      <c r="B38" t="s">
        <v>50</v>
      </c>
      <c r="C38" t="s">
        <v>59</v>
      </c>
      <c r="F38">
        <v>-300</v>
      </c>
    </row>
    <row r="39" spans="1:8" x14ac:dyDescent="0.25">
      <c r="B39" t="s">
        <v>51</v>
      </c>
      <c r="C39" t="s">
        <v>59</v>
      </c>
      <c r="F39">
        <v>-292.62</v>
      </c>
    </row>
    <row r="40" spans="1:8" x14ac:dyDescent="0.25">
      <c r="B40" t="s">
        <v>52</v>
      </c>
      <c r="C40" t="s">
        <v>59</v>
      </c>
      <c r="F40">
        <v>-218</v>
      </c>
    </row>
    <row r="41" spans="1:8" x14ac:dyDescent="0.25">
      <c r="B41" t="s">
        <v>53</v>
      </c>
      <c r="C41" t="s">
        <v>59</v>
      </c>
      <c r="F41">
        <v>-229.27</v>
      </c>
    </row>
    <row r="42" spans="1:8" x14ac:dyDescent="0.25">
      <c r="B42" t="s">
        <v>54</v>
      </c>
      <c r="C42" t="s">
        <v>59</v>
      </c>
      <c r="F42">
        <v>-231</v>
      </c>
    </row>
    <row r="43" spans="1:8" x14ac:dyDescent="0.25">
      <c r="B43" t="s">
        <v>55</v>
      </c>
      <c r="C43" t="s">
        <v>59</v>
      </c>
      <c r="F43">
        <v>-274.72000000000003</v>
      </c>
    </row>
    <row r="44" spans="1:8" x14ac:dyDescent="0.25">
      <c r="B44" t="s">
        <v>56</v>
      </c>
      <c r="C44" t="s">
        <v>59</v>
      </c>
      <c r="F44">
        <v>-278</v>
      </c>
    </row>
    <row r="45" spans="1:8" x14ac:dyDescent="0.25">
      <c r="B45" t="s">
        <v>57</v>
      </c>
      <c r="C45" t="s">
        <v>59</v>
      </c>
      <c r="D45">
        <v>-240</v>
      </c>
      <c r="E45">
        <v>-292</v>
      </c>
      <c r="F45">
        <v>-256.5</v>
      </c>
      <c r="G45">
        <v>-288.3</v>
      </c>
      <c r="H45">
        <v>-269</v>
      </c>
    </row>
    <row r="46" spans="1:8" x14ac:dyDescent="0.25">
      <c r="B46" t="s">
        <v>57</v>
      </c>
      <c r="C46" t="s">
        <v>59</v>
      </c>
      <c r="F46">
        <v>-237</v>
      </c>
    </row>
    <row r="47" spans="1:8" x14ac:dyDescent="0.25">
      <c r="A47" t="s">
        <v>58</v>
      </c>
      <c r="B47" t="s">
        <v>52</v>
      </c>
      <c r="C47" t="s">
        <v>59</v>
      </c>
      <c r="F47">
        <v>-211.24</v>
      </c>
    </row>
  </sheetData>
  <mergeCells count="1">
    <mergeCell ref="E1:G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zoomScale="115" zoomScaleNormal="115" workbookViewId="0">
      <selection activeCell="G24" sqref="G24:G25"/>
    </sheetView>
  </sheetViews>
  <sheetFormatPr defaultRowHeight="15" x14ac:dyDescent="0.25"/>
  <cols>
    <col min="1" max="1" width="19.140625" bestFit="1" customWidth="1"/>
    <col min="2" max="2" width="13.5703125" bestFit="1" customWidth="1"/>
    <col min="3" max="3" width="11.5703125" bestFit="1" customWidth="1"/>
    <col min="4" max="6" width="10.42578125" customWidth="1"/>
    <col min="7" max="7" width="35.140625" bestFit="1" customWidth="1"/>
    <col min="8" max="8" width="30.28515625" bestFit="1" customWidth="1"/>
    <col min="16" max="16" width="11" bestFit="1" customWidth="1"/>
  </cols>
  <sheetData>
    <row r="1" spans="1:14" x14ac:dyDescent="0.25">
      <c r="A1" t="s">
        <v>15</v>
      </c>
      <c r="D1" t="s">
        <v>14</v>
      </c>
    </row>
    <row r="2" spans="1:14" ht="30" x14ac:dyDescent="0.25">
      <c r="A2" s="12" t="s">
        <v>10</v>
      </c>
      <c r="B2" s="12" t="s">
        <v>9</v>
      </c>
      <c r="C2" s="12" t="s">
        <v>8</v>
      </c>
      <c r="D2" s="12" t="s">
        <v>7</v>
      </c>
      <c r="E2" s="12" t="s">
        <v>6</v>
      </c>
      <c r="F2" s="12" t="s">
        <v>5</v>
      </c>
      <c r="G2" s="12" t="s">
        <v>4</v>
      </c>
      <c r="L2" s="2"/>
    </row>
    <row r="3" spans="1:14" x14ac:dyDescent="0.25">
      <c r="A3" s="2" t="s">
        <v>3</v>
      </c>
    </row>
    <row r="4" spans="1:14" x14ac:dyDescent="0.25">
      <c r="A4">
        <v>1</v>
      </c>
      <c r="B4">
        <v>67.16</v>
      </c>
      <c r="C4">
        <v>67.33</v>
      </c>
      <c r="D4">
        <f>AVERAGE(B4:C4)</f>
        <v>67.245000000000005</v>
      </c>
      <c r="E4">
        <v>0.5</v>
      </c>
      <c r="F4" s="4">
        <f>(1.854*E4)/((D4*0.001)^2)</f>
        <v>205.00277425477637</v>
      </c>
      <c r="G4" t="s">
        <v>1</v>
      </c>
    </row>
    <row r="5" spans="1:14" x14ac:dyDescent="0.25">
      <c r="A5">
        <v>2</v>
      </c>
      <c r="B5">
        <v>71.41</v>
      </c>
      <c r="C5">
        <v>69.400000000000006</v>
      </c>
      <c r="D5">
        <f>AVERAGE(B5:C5)</f>
        <v>70.405000000000001</v>
      </c>
      <c r="E5">
        <v>0.5</v>
      </c>
      <c r="F5" s="4">
        <f>(1.854*E5)/((D5*0.001)^2)</f>
        <v>187.01340107871928</v>
      </c>
      <c r="G5" t="s">
        <v>1</v>
      </c>
    </row>
    <row r="6" spans="1:14" x14ac:dyDescent="0.25">
      <c r="A6">
        <v>3</v>
      </c>
      <c r="B6">
        <v>69.98</v>
      </c>
      <c r="C6">
        <v>73.63</v>
      </c>
      <c r="D6">
        <f>AVERAGE(B6:C6)</f>
        <v>71.805000000000007</v>
      </c>
      <c r="E6">
        <v>0.5</v>
      </c>
      <c r="F6" s="4">
        <f>(1.854*E6)/((D6*0.001)^2)</f>
        <v>179.79199898548435</v>
      </c>
      <c r="G6" t="s">
        <v>1</v>
      </c>
    </row>
    <row r="7" spans="1:14" x14ac:dyDescent="0.25">
      <c r="A7">
        <v>4</v>
      </c>
      <c r="B7">
        <v>69.069999999999993</v>
      </c>
      <c r="C7">
        <v>71.13</v>
      </c>
      <c r="D7">
        <f>AVERAGE(B7:C7)</f>
        <v>70.099999999999994</v>
      </c>
      <c r="E7">
        <v>0.5</v>
      </c>
      <c r="F7" s="4">
        <f>(1.854*E7)/((D7*0.001)^2)</f>
        <v>188.64430475314464</v>
      </c>
    </row>
    <row r="8" spans="1:14" x14ac:dyDescent="0.25">
      <c r="A8">
        <v>5</v>
      </c>
      <c r="B8">
        <v>71.599999999999994</v>
      </c>
      <c r="C8">
        <v>71.599999999999994</v>
      </c>
      <c r="D8">
        <f>AVERAGE(B8:C8)</f>
        <v>71.599999999999994</v>
      </c>
      <c r="E8">
        <v>0.5</v>
      </c>
      <c r="F8" s="4">
        <f>(1.854*E8)/((D8*0.001)^2)</f>
        <v>180.82300802097316</v>
      </c>
    </row>
    <row r="9" spans="1:14" x14ac:dyDescent="0.25">
      <c r="A9">
        <v>6</v>
      </c>
      <c r="B9">
        <v>68.83</v>
      </c>
      <c r="C9">
        <v>70.55</v>
      </c>
      <c r="D9">
        <f>AVERAGE(B9:C9)</f>
        <v>69.69</v>
      </c>
      <c r="E9">
        <v>0.5</v>
      </c>
      <c r="F9" s="4">
        <f>(1.854*E9)/((D9*0.001)^2)</f>
        <v>190.87049733253846</v>
      </c>
    </row>
    <row r="10" spans="1:14" x14ac:dyDescent="0.25">
      <c r="A10">
        <v>7</v>
      </c>
      <c r="B10">
        <v>71.2</v>
      </c>
      <c r="C10">
        <v>70.38</v>
      </c>
      <c r="D10">
        <f>AVERAGE(B10:C10)</f>
        <v>70.789999999999992</v>
      </c>
      <c r="E10">
        <v>0.5</v>
      </c>
      <c r="F10" s="4">
        <f>(1.854*E10)/((D10*0.001)^2)</f>
        <v>184.98474255022845</v>
      </c>
    </row>
    <row r="11" spans="1:14" x14ac:dyDescent="0.25">
      <c r="A11">
        <v>8</v>
      </c>
      <c r="B11">
        <v>69.290000000000006</v>
      </c>
      <c r="C11">
        <v>70.97</v>
      </c>
      <c r="D11">
        <f>AVERAGE(B11:C11)</f>
        <v>70.13</v>
      </c>
      <c r="E11">
        <v>0.5</v>
      </c>
      <c r="F11" s="4">
        <f>(1.854*E11)/((D11*0.001)^2)</f>
        <v>188.48294388968492</v>
      </c>
    </row>
    <row r="12" spans="1:14" x14ac:dyDescent="0.25">
      <c r="E12" s="2" t="s">
        <v>0</v>
      </c>
      <c r="F12" s="7">
        <f>AVERAGE(F4:F11)</f>
        <v>188.20170885819371</v>
      </c>
      <c r="G12" s="2"/>
      <c r="H12" s="2"/>
      <c r="I12" s="2"/>
      <c r="J12" s="2"/>
      <c r="K12" s="2"/>
      <c r="L12" s="2"/>
      <c r="M12" s="2"/>
      <c r="N12" s="2"/>
    </row>
    <row r="13" spans="1:14" x14ac:dyDescent="0.25">
      <c r="E13" s="2" t="s">
        <v>2</v>
      </c>
      <c r="F13" s="8">
        <f>_xlfn.STDEV.P(F4:F11)</f>
        <v>7.3024191919861003</v>
      </c>
      <c r="G13" s="2"/>
      <c r="H13" s="2"/>
      <c r="I13" s="2"/>
      <c r="J13" s="2"/>
      <c r="K13" s="2"/>
      <c r="L13" s="2"/>
      <c r="M13" s="2"/>
      <c r="N13" s="2"/>
    </row>
    <row r="17" spans="1:12" x14ac:dyDescent="0.25">
      <c r="A17" s="12"/>
      <c r="B17" s="12"/>
      <c r="C17" s="12"/>
      <c r="D17" s="12"/>
      <c r="E17" s="12"/>
      <c r="F17" s="12"/>
      <c r="G17" s="12"/>
      <c r="H17" s="12"/>
      <c r="L17" s="2"/>
    </row>
    <row r="18" spans="1:12" x14ac:dyDescent="0.25">
      <c r="A18" s="2"/>
    </row>
    <row r="19" spans="1:12" x14ac:dyDescent="0.25">
      <c r="F19" s="4"/>
      <c r="G19" s="4"/>
    </row>
    <row r="20" spans="1:12" x14ac:dyDescent="0.25">
      <c r="F20" s="4"/>
      <c r="G20" s="4"/>
    </row>
    <row r="21" spans="1:12" x14ac:dyDescent="0.25">
      <c r="F21" s="4"/>
      <c r="G21" s="4"/>
    </row>
    <row r="22" spans="1:12" x14ac:dyDescent="0.25">
      <c r="F22" s="4"/>
      <c r="G22" s="4"/>
    </row>
    <row r="23" spans="1:12" x14ac:dyDescent="0.25">
      <c r="F23" s="4"/>
      <c r="G23" s="4"/>
    </row>
    <row r="24" spans="1:12" x14ac:dyDescent="0.25">
      <c r="F24" s="4"/>
      <c r="G24" s="4"/>
    </row>
    <row r="25" spans="1:12" x14ac:dyDescent="0.25">
      <c r="F25" s="4"/>
      <c r="G25" s="4"/>
    </row>
    <row r="26" spans="1:12" x14ac:dyDescent="0.25">
      <c r="F26" s="4"/>
      <c r="G26" s="4"/>
    </row>
    <row r="27" spans="1:12" x14ac:dyDescent="0.25">
      <c r="F27" s="4"/>
      <c r="G27" s="4"/>
    </row>
    <row r="28" spans="1:12" x14ac:dyDescent="0.25">
      <c r="F28" s="4"/>
      <c r="G28" s="4"/>
    </row>
    <row r="29" spans="1:12" x14ac:dyDescent="0.25">
      <c r="F29" s="4"/>
      <c r="G29" s="4"/>
    </row>
    <row r="30" spans="1:12" x14ac:dyDescent="0.25">
      <c r="F30" s="4"/>
      <c r="G30" s="4"/>
    </row>
    <row r="31" spans="1:12" x14ac:dyDescent="0.25">
      <c r="F31" s="4"/>
      <c r="G31" s="4"/>
    </row>
    <row r="32" spans="1:12" x14ac:dyDescent="0.25">
      <c r="F32" s="4"/>
      <c r="G32" s="4"/>
    </row>
    <row r="33" spans="6:7" x14ac:dyDescent="0.25">
      <c r="F33" s="4"/>
      <c r="G33" s="4"/>
    </row>
    <row r="34" spans="6:7" x14ac:dyDescent="0.25">
      <c r="F34" s="4"/>
      <c r="G34" s="4"/>
    </row>
    <row r="35" spans="6:7" x14ac:dyDescent="0.25">
      <c r="F35" s="4"/>
      <c r="G35" s="4"/>
    </row>
    <row r="36" spans="6:7" x14ac:dyDescent="0.25">
      <c r="F36" s="4"/>
      <c r="G36" s="4"/>
    </row>
    <row r="37" spans="6:7" x14ac:dyDescent="0.25">
      <c r="F37" s="4"/>
      <c r="G37" s="4"/>
    </row>
    <row r="38" spans="6:7" x14ac:dyDescent="0.25">
      <c r="F38" s="4"/>
      <c r="G38" s="4"/>
    </row>
    <row r="39" spans="6:7" x14ac:dyDescent="0.25">
      <c r="F39" s="4"/>
      <c r="G39" s="4"/>
    </row>
    <row r="40" spans="6:7" x14ac:dyDescent="0.25">
      <c r="F40" s="4"/>
      <c r="G40" s="4"/>
    </row>
    <row r="41" spans="6:7" x14ac:dyDescent="0.25">
      <c r="F41" s="4"/>
      <c r="G41" s="4"/>
    </row>
    <row r="42" spans="6:7" x14ac:dyDescent="0.25">
      <c r="F42" s="4"/>
      <c r="G42" s="4"/>
    </row>
    <row r="43" spans="6:7" x14ac:dyDescent="0.25">
      <c r="F43" s="4"/>
      <c r="G43" s="4"/>
    </row>
    <row r="44" spans="6:7" x14ac:dyDescent="0.25">
      <c r="F44" s="4"/>
      <c r="G44" s="4"/>
    </row>
    <row r="45" spans="6:7" x14ac:dyDescent="0.25">
      <c r="F45" s="4"/>
      <c r="G45" s="4"/>
    </row>
    <row r="46" spans="6:7" x14ac:dyDescent="0.25">
      <c r="F46" s="4"/>
      <c r="G46" s="4"/>
    </row>
    <row r="47" spans="6:7" x14ac:dyDescent="0.25">
      <c r="F47" s="4"/>
      <c r="G47" s="4"/>
    </row>
    <row r="48" spans="6:7" x14ac:dyDescent="0.25">
      <c r="F48" s="4"/>
      <c r="G48" s="4"/>
    </row>
    <row r="49" spans="6:7" x14ac:dyDescent="0.25">
      <c r="F49" s="4"/>
      <c r="G49" s="4"/>
    </row>
    <row r="50" spans="6:7" x14ac:dyDescent="0.25">
      <c r="F50" s="4"/>
      <c r="G50" s="4"/>
    </row>
    <row r="51" spans="6:7" x14ac:dyDescent="0.25">
      <c r="F51" s="4"/>
      <c r="G51" s="4"/>
    </row>
    <row r="52" spans="6:7" x14ac:dyDescent="0.25">
      <c r="F52" s="4"/>
      <c r="G52" s="4"/>
    </row>
    <row r="53" spans="6:7" x14ac:dyDescent="0.25">
      <c r="F53" s="4"/>
      <c r="G53" s="4"/>
    </row>
    <row r="54" spans="6:7" x14ac:dyDescent="0.25">
      <c r="F54" s="4"/>
      <c r="G54" s="4"/>
    </row>
    <row r="55" spans="6:7" x14ac:dyDescent="0.25">
      <c r="F55" s="4"/>
      <c r="G55" s="4"/>
    </row>
    <row r="56" spans="6:7" x14ac:dyDescent="0.25">
      <c r="F56" s="4"/>
      <c r="G56" s="4"/>
    </row>
  </sheetData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zoomScaleNormal="100" workbookViewId="0">
      <selection activeCell="H33" sqref="H33:H34"/>
    </sheetView>
  </sheetViews>
  <sheetFormatPr defaultRowHeight="15" x14ac:dyDescent="0.25"/>
  <cols>
    <col min="1" max="1" width="19.140625" bestFit="1" customWidth="1"/>
    <col min="2" max="2" width="13.5703125" bestFit="1" customWidth="1"/>
    <col min="3" max="3" width="11.5703125" bestFit="1" customWidth="1"/>
    <col min="4" max="6" width="10.42578125" customWidth="1"/>
    <col min="7" max="7" width="33.42578125" bestFit="1" customWidth="1"/>
    <col min="8" max="8" width="30.28515625" bestFit="1" customWidth="1"/>
    <col min="12" max="12" width="19.140625" bestFit="1" customWidth="1"/>
    <col min="16" max="16" width="11" bestFit="1" customWidth="1"/>
  </cols>
  <sheetData>
    <row r="1" spans="1:17" x14ac:dyDescent="0.25">
      <c r="A1" t="s">
        <v>13</v>
      </c>
    </row>
    <row r="2" spans="1:17" ht="30" x14ac:dyDescent="0.25">
      <c r="A2" s="6" t="s">
        <v>10</v>
      </c>
      <c r="B2" s="6" t="s">
        <v>9</v>
      </c>
      <c r="C2" s="6" t="s">
        <v>8</v>
      </c>
      <c r="D2" s="6" t="s">
        <v>7</v>
      </c>
      <c r="E2" s="6" t="s">
        <v>6</v>
      </c>
      <c r="F2" s="6" t="s">
        <v>5</v>
      </c>
      <c r="G2" s="6" t="s">
        <v>4</v>
      </c>
      <c r="L2" s="2"/>
    </row>
    <row r="3" spans="1:17" x14ac:dyDescent="0.25">
      <c r="A3" s="2" t="s">
        <v>3</v>
      </c>
    </row>
    <row r="4" spans="1:17" x14ac:dyDescent="0.25">
      <c r="A4">
        <v>1</v>
      </c>
      <c r="B4">
        <v>73.39</v>
      </c>
      <c r="C4">
        <v>72.459999999999994</v>
      </c>
      <c r="D4">
        <f>AVERAGE(B4:C4)</f>
        <v>72.924999999999997</v>
      </c>
      <c r="E4">
        <v>0.5</v>
      </c>
      <c r="F4" s="4">
        <f>(1.854*E4)/((D4*0.001)^2)</f>
        <v>174.31182848900718</v>
      </c>
      <c r="G4" t="s">
        <v>1</v>
      </c>
    </row>
    <row r="5" spans="1:17" x14ac:dyDescent="0.25">
      <c r="A5">
        <v>2</v>
      </c>
      <c r="B5">
        <v>72.03</v>
      </c>
      <c r="C5">
        <v>72.56</v>
      </c>
      <c r="D5">
        <f t="shared" ref="D5:D13" si="0">AVERAGE(B5:C5)</f>
        <v>72.295000000000002</v>
      </c>
      <c r="E5">
        <v>0.5</v>
      </c>
      <c r="F5" s="4">
        <f t="shared" ref="F5:F13" si="1">(1.854*E5)/((D5*0.001)^2)</f>
        <v>177.36307514395648</v>
      </c>
      <c r="G5" t="s">
        <v>1</v>
      </c>
    </row>
    <row r="6" spans="1:17" x14ac:dyDescent="0.25">
      <c r="A6">
        <v>3</v>
      </c>
      <c r="B6">
        <v>73.959999999999994</v>
      </c>
      <c r="C6">
        <v>70.94</v>
      </c>
      <c r="D6">
        <f t="shared" si="0"/>
        <v>72.449999999999989</v>
      </c>
      <c r="E6">
        <v>0.5</v>
      </c>
      <c r="F6" s="4">
        <f t="shared" si="1"/>
        <v>176.60498351829713</v>
      </c>
      <c r="G6" t="s">
        <v>1</v>
      </c>
    </row>
    <row r="7" spans="1:17" x14ac:dyDescent="0.25">
      <c r="A7">
        <v>4</v>
      </c>
      <c r="B7">
        <v>71.12</v>
      </c>
      <c r="C7">
        <v>70.22</v>
      </c>
      <c r="D7">
        <f t="shared" si="0"/>
        <v>70.67</v>
      </c>
      <c r="E7">
        <v>0.5</v>
      </c>
      <c r="F7" s="4">
        <f t="shared" si="1"/>
        <v>185.61349635577838</v>
      </c>
    </row>
    <row r="8" spans="1:17" x14ac:dyDescent="0.25">
      <c r="A8">
        <v>5</v>
      </c>
      <c r="B8">
        <v>76.33</v>
      </c>
      <c r="C8">
        <v>72.41</v>
      </c>
      <c r="D8">
        <f t="shared" si="0"/>
        <v>74.37</v>
      </c>
      <c r="E8">
        <v>0.5</v>
      </c>
      <c r="F8" s="4">
        <f t="shared" si="1"/>
        <v>167.60391971869876</v>
      </c>
    </row>
    <row r="9" spans="1:17" x14ac:dyDescent="0.25">
      <c r="A9">
        <v>6</v>
      </c>
      <c r="B9">
        <v>70.7</v>
      </c>
      <c r="C9">
        <v>69.400000000000006</v>
      </c>
      <c r="D9">
        <f t="shared" si="0"/>
        <v>70.050000000000011</v>
      </c>
      <c r="E9">
        <v>0.5</v>
      </c>
      <c r="F9" s="4">
        <f t="shared" si="1"/>
        <v>188.91370037003236</v>
      </c>
    </row>
    <row r="10" spans="1:17" x14ac:dyDescent="0.25">
      <c r="A10">
        <v>7</v>
      </c>
      <c r="B10">
        <v>69.59</v>
      </c>
      <c r="C10">
        <v>74.040000000000006</v>
      </c>
      <c r="D10">
        <f t="shared" si="0"/>
        <v>71.814999999999998</v>
      </c>
      <c r="E10">
        <v>0.5</v>
      </c>
      <c r="F10" s="4">
        <f t="shared" si="1"/>
        <v>179.7419315953106</v>
      </c>
    </row>
    <row r="11" spans="1:17" x14ac:dyDescent="0.25">
      <c r="A11">
        <v>8</v>
      </c>
      <c r="B11">
        <v>70.72</v>
      </c>
      <c r="C11">
        <v>76.11</v>
      </c>
      <c r="D11">
        <f t="shared" si="0"/>
        <v>73.414999999999992</v>
      </c>
      <c r="E11">
        <v>0.5</v>
      </c>
      <c r="F11" s="4">
        <f t="shared" si="1"/>
        <v>171.99274500462778</v>
      </c>
    </row>
    <row r="12" spans="1:17" x14ac:dyDescent="0.25">
      <c r="A12">
        <v>9</v>
      </c>
      <c r="B12">
        <v>76.72</v>
      </c>
      <c r="C12">
        <v>78.17</v>
      </c>
      <c r="D12">
        <f t="shared" si="0"/>
        <v>77.444999999999993</v>
      </c>
      <c r="E12">
        <v>0.5</v>
      </c>
      <c r="F12" s="4">
        <f t="shared" si="1"/>
        <v>154.55852551766884</v>
      </c>
    </row>
    <row r="13" spans="1:17" x14ac:dyDescent="0.25">
      <c r="A13">
        <v>10</v>
      </c>
      <c r="B13">
        <v>73.239999999999995</v>
      </c>
      <c r="C13">
        <v>71.83</v>
      </c>
      <c r="D13">
        <f t="shared" si="0"/>
        <v>72.534999999999997</v>
      </c>
      <c r="E13">
        <v>0.5</v>
      </c>
      <c r="F13" s="4">
        <f t="shared" si="1"/>
        <v>176.19131761783123</v>
      </c>
    </row>
    <row r="14" spans="1:17" x14ac:dyDescent="0.25">
      <c r="E14" s="2" t="s">
        <v>0</v>
      </c>
      <c r="F14" s="7">
        <f>AVERAGE(F4:F13)</f>
        <v>175.28955233312087</v>
      </c>
      <c r="G14" s="2"/>
      <c r="H14" s="2"/>
      <c r="I14" s="2"/>
      <c r="P14" s="2"/>
      <c r="Q14" s="2"/>
    </row>
    <row r="15" spans="1:17" x14ac:dyDescent="0.25">
      <c r="E15" s="2" t="s">
        <v>2</v>
      </c>
      <c r="F15" s="8">
        <f>_xlfn.STDEV.P(F3:F13)</f>
        <v>9.0528296773502532</v>
      </c>
      <c r="G15" s="2"/>
      <c r="H15" s="2"/>
      <c r="I15" s="2"/>
      <c r="P15" s="2"/>
      <c r="Q15" s="2"/>
    </row>
    <row r="16" spans="1:17" x14ac:dyDescent="0.25">
      <c r="A16" s="2"/>
    </row>
    <row r="17" spans="1:12" x14ac:dyDescent="0.25">
      <c r="A17" s="6"/>
      <c r="B17" s="6"/>
      <c r="C17" s="6"/>
      <c r="D17" s="6"/>
      <c r="E17" s="6"/>
      <c r="F17" s="6"/>
      <c r="H17" s="6"/>
      <c r="L17" s="2"/>
    </row>
    <row r="18" spans="1:12" x14ac:dyDescent="0.25">
      <c r="A18" s="2"/>
    </row>
    <row r="19" spans="1:12" x14ac:dyDescent="0.25">
      <c r="A19" s="9"/>
      <c r="B19" s="9"/>
      <c r="C19" s="9"/>
      <c r="D19" s="9"/>
      <c r="E19" s="9"/>
      <c r="F19" s="9"/>
      <c r="G19" s="10"/>
    </row>
    <row r="20" spans="1:12" x14ac:dyDescent="0.25">
      <c r="A20" s="9"/>
      <c r="B20" s="9"/>
      <c r="C20" s="9"/>
      <c r="D20" s="9"/>
      <c r="E20" s="9"/>
      <c r="F20" s="9"/>
      <c r="G20" s="10"/>
    </row>
    <row r="21" spans="1:12" x14ac:dyDescent="0.25">
      <c r="A21" s="9"/>
      <c r="B21" s="9"/>
      <c r="C21" s="9"/>
      <c r="D21" s="9"/>
      <c r="E21" s="9"/>
      <c r="F21" s="9"/>
      <c r="G21" s="10"/>
    </row>
    <row r="22" spans="1:12" x14ac:dyDescent="0.25">
      <c r="A22" s="9"/>
      <c r="B22" s="9"/>
      <c r="C22" s="9"/>
      <c r="D22" s="9"/>
      <c r="E22" s="9"/>
      <c r="F22" s="9"/>
      <c r="G22" s="10"/>
    </row>
    <row r="23" spans="1:12" x14ac:dyDescent="0.25">
      <c r="A23" s="9"/>
      <c r="B23" s="9"/>
      <c r="C23" s="9"/>
      <c r="D23" s="9"/>
      <c r="E23" s="9"/>
      <c r="F23" s="9"/>
      <c r="G23" s="10"/>
    </row>
    <row r="24" spans="1:12" x14ac:dyDescent="0.25">
      <c r="A24" s="9"/>
      <c r="B24" s="9"/>
      <c r="C24" s="9"/>
      <c r="D24" s="9"/>
      <c r="E24" s="9"/>
      <c r="F24" s="9"/>
      <c r="G24" s="10"/>
    </row>
    <row r="25" spans="1:12" x14ac:dyDescent="0.25">
      <c r="A25" s="9"/>
      <c r="B25" s="9"/>
      <c r="C25" s="9"/>
      <c r="D25" s="9"/>
      <c r="E25" s="9"/>
      <c r="F25" s="9"/>
      <c r="G25" s="10"/>
    </row>
    <row r="26" spans="1:12" x14ac:dyDescent="0.25">
      <c r="A26" s="9"/>
      <c r="B26" s="9"/>
      <c r="C26" s="9"/>
      <c r="D26" s="9"/>
      <c r="E26" s="9"/>
      <c r="F26" s="9"/>
      <c r="G26" s="10"/>
    </row>
    <row r="27" spans="1:12" x14ac:dyDescent="0.25">
      <c r="A27" s="9"/>
      <c r="B27" s="9"/>
      <c r="C27" s="9"/>
      <c r="D27" s="9"/>
      <c r="E27" s="9"/>
      <c r="F27" s="9"/>
      <c r="G27" s="10"/>
    </row>
    <row r="28" spans="1:12" x14ac:dyDescent="0.25">
      <c r="A28" s="9"/>
      <c r="B28" s="9"/>
      <c r="C28" s="9"/>
      <c r="D28" s="9"/>
      <c r="E28" s="9"/>
      <c r="F28" s="9"/>
      <c r="G28" s="10"/>
    </row>
    <row r="29" spans="1:12" x14ac:dyDescent="0.25">
      <c r="A29" s="9"/>
      <c r="B29" s="9"/>
      <c r="C29" s="9"/>
      <c r="D29" s="9"/>
      <c r="E29" s="9"/>
      <c r="F29" s="9"/>
      <c r="G29" s="10"/>
    </row>
    <row r="30" spans="1:12" x14ac:dyDescent="0.25">
      <c r="A30" s="9"/>
      <c r="B30" s="9"/>
      <c r="C30" s="9"/>
      <c r="D30" s="9"/>
      <c r="E30" s="9"/>
      <c r="F30" s="9"/>
      <c r="G30" s="10"/>
    </row>
    <row r="31" spans="1:12" x14ac:dyDescent="0.25">
      <c r="A31" s="9"/>
      <c r="B31" s="9"/>
      <c r="C31" s="9"/>
      <c r="D31" s="9"/>
      <c r="E31" s="9"/>
      <c r="F31" s="9"/>
      <c r="G31" s="10"/>
    </row>
    <row r="32" spans="1:12" x14ac:dyDescent="0.25">
      <c r="A32" s="9"/>
      <c r="B32" s="9"/>
      <c r="C32" s="9"/>
      <c r="D32" s="9"/>
      <c r="E32" s="9"/>
      <c r="F32" s="9"/>
      <c r="G32" s="10"/>
    </row>
    <row r="33" spans="1:17" x14ac:dyDescent="0.25">
      <c r="A33" s="9"/>
      <c r="B33" s="9"/>
      <c r="C33" s="9"/>
      <c r="D33" s="9"/>
      <c r="E33" s="9"/>
      <c r="F33" s="9"/>
      <c r="G33" s="10"/>
    </row>
    <row r="34" spans="1:17" x14ac:dyDescent="0.25">
      <c r="A34" s="9"/>
      <c r="E34" s="2"/>
      <c r="F34" s="2"/>
      <c r="H34" s="2"/>
      <c r="I34" s="7"/>
      <c r="L34" s="2"/>
      <c r="Q34" s="2"/>
    </row>
    <row r="35" spans="1:17" x14ac:dyDescent="0.25">
      <c r="A35" s="11"/>
      <c r="E35" s="2"/>
      <c r="F35" s="8"/>
    </row>
    <row r="36" spans="1:17" x14ac:dyDescent="0.25">
      <c r="A36" s="9"/>
    </row>
    <row r="37" spans="1:17" x14ac:dyDescent="0.25">
      <c r="A37" s="9"/>
    </row>
    <row r="39" spans="1:17" x14ac:dyDescent="0.25">
      <c r="A39" s="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"/>
  <sheetViews>
    <sheetView tabSelected="1" topLeftCell="A7" zoomScale="115" zoomScaleNormal="115" workbookViewId="0">
      <selection activeCell="G15" sqref="G15"/>
    </sheetView>
  </sheetViews>
  <sheetFormatPr defaultRowHeight="15" x14ac:dyDescent="0.25"/>
  <cols>
    <col min="1" max="1" width="20.140625" bestFit="1" customWidth="1"/>
    <col min="6" max="6" width="10.28515625" customWidth="1"/>
    <col min="8" max="8" width="11.140625" customWidth="1"/>
  </cols>
  <sheetData>
    <row r="1" spans="1:17" x14ac:dyDescent="0.25">
      <c r="A1" t="s">
        <v>12</v>
      </c>
      <c r="B1" t="s">
        <v>11</v>
      </c>
    </row>
    <row r="2" spans="1:17" ht="30" x14ac:dyDescent="0.25">
      <c r="A2" s="6" t="s">
        <v>10</v>
      </c>
      <c r="B2" s="6" t="s">
        <v>9</v>
      </c>
      <c r="C2" s="6" t="s">
        <v>8</v>
      </c>
      <c r="D2" s="6" t="s">
        <v>7</v>
      </c>
      <c r="E2" s="6" t="s">
        <v>6</v>
      </c>
      <c r="F2" s="6" t="s">
        <v>5</v>
      </c>
      <c r="G2" s="6" t="s">
        <v>4</v>
      </c>
      <c r="L2" s="2"/>
    </row>
    <row r="3" spans="1:17" x14ac:dyDescent="0.25">
      <c r="A3" s="5" t="s">
        <v>3</v>
      </c>
    </row>
    <row r="4" spans="1:17" x14ac:dyDescent="0.25">
      <c r="A4">
        <v>1</v>
      </c>
      <c r="B4">
        <v>72.790000000000006</v>
      </c>
      <c r="C4">
        <v>74.989999999999995</v>
      </c>
      <c r="D4">
        <f>AVERAGE(B4:C4)</f>
        <v>73.89</v>
      </c>
      <c r="E4">
        <v>0.5</v>
      </c>
      <c r="F4" s="4">
        <f>(1.854*E4)/((D4*0.001)^2)</f>
        <v>169.78855061404937</v>
      </c>
      <c r="G4" t="s">
        <v>1</v>
      </c>
    </row>
    <row r="5" spans="1:17" x14ac:dyDescent="0.25">
      <c r="A5">
        <v>2</v>
      </c>
      <c r="B5">
        <v>71.099999999999994</v>
      </c>
      <c r="C5">
        <v>74.010000000000005</v>
      </c>
      <c r="D5">
        <f>AVERAGE(B5:C5)</f>
        <v>72.555000000000007</v>
      </c>
      <c r="E5">
        <v>0.5</v>
      </c>
      <c r="F5" s="4">
        <f>(1.854*E5)/((D5*0.001)^2)</f>
        <v>176.09419569168449</v>
      </c>
      <c r="G5" t="s">
        <v>1</v>
      </c>
    </row>
    <row r="6" spans="1:17" x14ac:dyDescent="0.25">
      <c r="A6">
        <v>3</v>
      </c>
      <c r="B6">
        <v>73.28</v>
      </c>
      <c r="C6">
        <v>74.209999999999994</v>
      </c>
      <c r="D6">
        <f>AVERAGE(B6:C6)</f>
        <v>73.745000000000005</v>
      </c>
      <c r="E6">
        <v>0.5</v>
      </c>
      <c r="F6" s="4">
        <f>(1.854*E6)/((D6*0.001)^2)</f>
        <v>170.45689541146905</v>
      </c>
      <c r="G6" t="s">
        <v>1</v>
      </c>
    </row>
    <row r="7" spans="1:17" x14ac:dyDescent="0.25">
      <c r="A7">
        <v>4</v>
      </c>
      <c r="B7">
        <v>73.53</v>
      </c>
      <c r="C7">
        <v>73.61</v>
      </c>
      <c r="D7">
        <f>AVERAGE(B7:C7)</f>
        <v>73.569999999999993</v>
      </c>
      <c r="E7">
        <v>0.5</v>
      </c>
      <c r="F7" s="4">
        <f>(1.854*E7)/((D7*0.001)^2)</f>
        <v>171.26878707278715</v>
      </c>
      <c r="G7" t="s">
        <v>1</v>
      </c>
    </row>
    <row r="8" spans="1:17" x14ac:dyDescent="0.25">
      <c r="A8">
        <v>5</v>
      </c>
      <c r="B8">
        <v>72.97</v>
      </c>
      <c r="C8">
        <v>72.760000000000005</v>
      </c>
      <c r="D8">
        <f>AVERAGE(B8:C8)</f>
        <v>72.865000000000009</v>
      </c>
      <c r="E8">
        <v>0.5</v>
      </c>
      <c r="F8" s="4">
        <f>(1.854*E8)/((D8*0.001)^2)</f>
        <v>174.59901755845033</v>
      </c>
      <c r="G8" t="s">
        <v>1</v>
      </c>
    </row>
    <row r="9" spans="1:17" x14ac:dyDescent="0.25">
      <c r="A9">
        <v>6</v>
      </c>
      <c r="B9">
        <v>73.31</v>
      </c>
      <c r="C9">
        <v>73.97</v>
      </c>
      <c r="D9">
        <f>AVERAGE(B9:C9)</f>
        <v>73.64</v>
      </c>
      <c r="E9">
        <v>0.5</v>
      </c>
      <c r="F9" s="4">
        <f>(1.854*E9)/((D9*0.001)^2)</f>
        <v>170.94333576944493</v>
      </c>
      <c r="G9" t="s">
        <v>1</v>
      </c>
    </row>
    <row r="10" spans="1:17" x14ac:dyDescent="0.25">
      <c r="A10">
        <v>7</v>
      </c>
      <c r="B10">
        <v>74.86</v>
      </c>
      <c r="C10">
        <v>74.16</v>
      </c>
      <c r="D10">
        <f>AVERAGE(B10:C10)</f>
        <v>74.509999999999991</v>
      </c>
      <c r="E10">
        <v>0.5</v>
      </c>
      <c r="F10" s="4">
        <f>(1.854*E10)/((D10*0.001)^2)</f>
        <v>166.9746752013842</v>
      </c>
      <c r="G10" t="s">
        <v>1</v>
      </c>
    </row>
    <row r="11" spans="1:17" x14ac:dyDescent="0.25">
      <c r="A11">
        <v>8</v>
      </c>
      <c r="B11">
        <v>73.55</v>
      </c>
      <c r="C11">
        <v>74.92</v>
      </c>
      <c r="D11">
        <f>AVERAGE(B11:C11)</f>
        <v>74.234999999999999</v>
      </c>
      <c r="E11">
        <v>0.5</v>
      </c>
      <c r="F11" s="4">
        <f>(1.854*E11)/((D11*0.001)^2)</f>
        <v>168.21406595404062</v>
      </c>
      <c r="G11" t="s">
        <v>1</v>
      </c>
    </row>
    <row r="12" spans="1:17" x14ac:dyDescent="0.25">
      <c r="A12">
        <v>9</v>
      </c>
      <c r="B12">
        <v>75.290000000000006</v>
      </c>
      <c r="C12">
        <v>76.88</v>
      </c>
      <c r="D12">
        <f>AVERAGE(B12:C12)</f>
        <v>76.085000000000008</v>
      </c>
      <c r="E12">
        <v>0.5</v>
      </c>
      <c r="F12" s="4">
        <f>(1.854*E12)/((D12*0.001)^2)</f>
        <v>160.13329654528516</v>
      </c>
      <c r="G12" t="s">
        <v>1</v>
      </c>
    </row>
    <row r="13" spans="1:17" x14ac:dyDescent="0.25">
      <c r="A13">
        <v>10</v>
      </c>
      <c r="B13">
        <v>72.040000000000006</v>
      </c>
      <c r="C13">
        <v>73.91</v>
      </c>
      <c r="D13">
        <f>AVERAGE(B13:C13)</f>
        <v>72.974999999999994</v>
      </c>
      <c r="E13">
        <v>0.5</v>
      </c>
      <c r="F13" s="4">
        <f>(1.854*E13)/((D13*0.001)^2)</f>
        <v>174.07304519033431</v>
      </c>
      <c r="G13" t="s">
        <v>1</v>
      </c>
    </row>
    <row r="14" spans="1:17" x14ac:dyDescent="0.25">
      <c r="A14">
        <v>11</v>
      </c>
      <c r="B14">
        <v>72.61</v>
      </c>
      <c r="C14">
        <v>74</v>
      </c>
      <c r="D14">
        <f>AVERAGE(B14:C14)</f>
        <v>73.305000000000007</v>
      </c>
      <c r="E14">
        <v>0.5</v>
      </c>
      <c r="F14" s="4">
        <f>(1.854*E14)/((D14*0.001)^2)</f>
        <v>172.50930995480462</v>
      </c>
      <c r="G14" t="s">
        <v>1</v>
      </c>
      <c r="L14" s="2"/>
      <c r="Q14" s="2"/>
    </row>
    <row r="15" spans="1:17" x14ac:dyDescent="0.25">
      <c r="E15" s="2" t="s">
        <v>0</v>
      </c>
      <c r="F15" s="3">
        <f>AVERAGE(F4:F14)</f>
        <v>170.45956136033948</v>
      </c>
      <c r="H15" s="2"/>
    </row>
    <row r="16" spans="1:17" x14ac:dyDescent="0.25">
      <c r="E16" s="2" t="s">
        <v>2</v>
      </c>
      <c r="F16" s="3">
        <f>_xlfn.STDEV.P(F4:F14)</f>
        <v>4.1702464392726037</v>
      </c>
      <c r="H16" s="2"/>
    </row>
    <row r="17" spans="1:16" x14ac:dyDescent="0.25">
      <c r="A17" s="2"/>
    </row>
    <row r="22" spans="1:16" x14ac:dyDescent="0.25">
      <c r="A22" s="2"/>
      <c r="F22" s="2"/>
      <c r="P22" s="1">
        <f>(5/170)</f>
        <v>2.9411764705882353E-2</v>
      </c>
    </row>
    <row r="23" spans="1:16" x14ac:dyDescent="0.25">
      <c r="P23" s="1">
        <f>(188-170)/170</f>
        <v>0.10588235294117647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roughness</vt:lpstr>
      <vt:lpstr>centreholdrill2</vt:lpstr>
      <vt:lpstr>centreholedrill</vt:lpstr>
      <vt:lpstr>Proto XRD measurments</vt:lpstr>
      <vt:lpstr>hardness lsp</vt:lpstr>
      <vt:lpstr>hardns lsp cut</vt:lpstr>
      <vt:lpstr>hrdns base1200Sic</vt:lpstr>
      <vt:lpstr>centreholdrill2!Print_Area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Araujo A.G.</dc:creator>
  <cp:lastModifiedBy>Sanchez Araujo A.G.</cp:lastModifiedBy>
  <dcterms:created xsi:type="dcterms:W3CDTF">2020-10-26T14:01:40Z</dcterms:created>
  <dcterms:modified xsi:type="dcterms:W3CDTF">2020-10-26T14:33:10Z</dcterms:modified>
</cp:coreProperties>
</file>